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C5AC86-F925-4E13-8073-26A806B88FD1}" xr6:coauthVersionLast="47" xr6:coauthVersionMax="47" xr10:uidLastSave="{00000000-0000-0000-0000-000000000000}"/>
  <bookViews>
    <workbookView xWindow="-25710" yWindow="-5330" windowWidth="25820" windowHeight="14020" xr2:uid="{16C3261F-A257-4808-BD4D-B3395382E289}"/>
  </bookViews>
  <sheets>
    <sheet name="2026 Ride Calendar" sheetId="1" r:id="rId1"/>
    <sheet name="Ride and Event Catalogue" sheetId="2" r:id="rId2"/>
  </sheets>
  <definedNames>
    <definedName name="_xlnm._FilterDatabase" localSheetId="0" hidden="1">'2026 Ride Calendar'!$A$4:$I$51</definedName>
    <definedName name="_xlnm._FilterDatabase" localSheetId="1" hidden="1">'Ride and Event Catalogue'!$B$17:$H$40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C5" i="1"/>
  <c r="D5" i="1"/>
  <c r="F5" i="1"/>
  <c r="G5" i="1"/>
  <c r="H5" i="1"/>
  <c r="I5" i="1"/>
  <c r="H44" i="2"/>
  <c r="F28" i="1"/>
  <c r="G28" i="1"/>
  <c r="H28" i="1"/>
  <c r="I28" i="1"/>
  <c r="C28" i="1"/>
  <c r="D28" i="1"/>
  <c r="F43" i="1"/>
  <c r="G43" i="1"/>
  <c r="H43" i="1"/>
  <c r="I43" i="1"/>
  <c r="F44" i="1"/>
  <c r="G44" i="1"/>
  <c r="H44" i="1"/>
  <c r="I44" i="1"/>
  <c r="C44" i="1"/>
  <c r="D44" i="1"/>
  <c r="F19" i="1"/>
  <c r="G19" i="1"/>
  <c r="H19" i="1"/>
  <c r="I19" i="1"/>
  <c r="C19" i="1"/>
  <c r="D19" i="1"/>
  <c r="H13" i="2"/>
  <c r="H12" i="2"/>
  <c r="F17" i="1"/>
  <c r="G17" i="1"/>
  <c r="H17" i="1"/>
  <c r="I17" i="1"/>
  <c r="C17" i="1"/>
  <c r="D17" i="1"/>
  <c r="H20" i="2"/>
  <c r="H23" i="2"/>
  <c r="H24" i="2"/>
  <c r="H19" i="2"/>
  <c r="H18" i="2"/>
  <c r="H6" i="2"/>
  <c r="I7" i="1"/>
  <c r="I8" i="1"/>
  <c r="I9" i="1"/>
  <c r="I10" i="1"/>
  <c r="I11" i="1"/>
  <c r="I12" i="1"/>
  <c r="I13" i="1"/>
  <c r="I14" i="1"/>
  <c r="I15" i="1"/>
  <c r="I16" i="1"/>
  <c r="I18" i="1"/>
  <c r="I21" i="1"/>
  <c r="I22" i="1"/>
  <c r="I23" i="1"/>
  <c r="I24" i="1"/>
  <c r="I25" i="1"/>
  <c r="I26" i="1"/>
  <c r="I27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5" i="1"/>
  <c r="I46" i="1"/>
  <c r="I47" i="1"/>
  <c r="I48" i="1"/>
  <c r="I49" i="1"/>
  <c r="I50" i="1"/>
  <c r="I51" i="1"/>
  <c r="H7" i="1"/>
  <c r="H8" i="1"/>
  <c r="H9" i="1"/>
  <c r="H10" i="1"/>
  <c r="H11" i="1"/>
  <c r="H12" i="1"/>
  <c r="H13" i="1"/>
  <c r="H14" i="1"/>
  <c r="H15" i="1"/>
  <c r="H16" i="1"/>
  <c r="H18" i="1"/>
  <c r="H21" i="1"/>
  <c r="H22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5" i="1"/>
  <c r="H46" i="1"/>
  <c r="H47" i="1"/>
  <c r="H48" i="1"/>
  <c r="H49" i="1"/>
  <c r="H50" i="1"/>
  <c r="H51" i="1"/>
  <c r="G7" i="1"/>
  <c r="G8" i="1"/>
  <c r="G9" i="1"/>
  <c r="G10" i="1"/>
  <c r="G11" i="1"/>
  <c r="G12" i="1"/>
  <c r="G13" i="1"/>
  <c r="G14" i="1"/>
  <c r="G15" i="1"/>
  <c r="G16" i="1"/>
  <c r="G18" i="1"/>
  <c r="G21" i="1"/>
  <c r="G22" i="1"/>
  <c r="G23" i="1"/>
  <c r="G24" i="1"/>
  <c r="G25" i="1"/>
  <c r="G26" i="1"/>
  <c r="G27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5" i="1"/>
  <c r="G46" i="1"/>
  <c r="G47" i="1"/>
  <c r="G48" i="1"/>
  <c r="G49" i="1"/>
  <c r="G50" i="1"/>
  <c r="G51" i="1"/>
  <c r="F7" i="1"/>
  <c r="F8" i="1"/>
  <c r="F9" i="1"/>
  <c r="F10" i="1"/>
  <c r="F11" i="1"/>
  <c r="F12" i="1"/>
  <c r="F13" i="1"/>
  <c r="F14" i="1"/>
  <c r="F15" i="1"/>
  <c r="F16" i="1"/>
  <c r="F18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5" i="1"/>
  <c r="F46" i="1"/>
  <c r="F47" i="1"/>
  <c r="F48" i="1"/>
  <c r="F49" i="1"/>
  <c r="F50" i="1"/>
  <c r="F51" i="1"/>
  <c r="I6" i="1"/>
  <c r="H6" i="1"/>
  <c r="G6" i="1"/>
  <c r="F6" i="1"/>
  <c r="C45" i="1"/>
  <c r="D45" i="1"/>
  <c r="C7" i="1"/>
  <c r="C8" i="1"/>
  <c r="C9" i="1"/>
  <c r="C10" i="1"/>
  <c r="C11" i="1"/>
  <c r="C12" i="1"/>
  <c r="C13" i="1"/>
  <c r="C14" i="1"/>
  <c r="C15" i="1"/>
  <c r="C16" i="1"/>
  <c r="C18" i="1"/>
  <c r="C20" i="1"/>
  <c r="C21" i="1"/>
  <c r="C22" i="1"/>
  <c r="C23" i="1"/>
  <c r="C24" i="1"/>
  <c r="C25" i="1"/>
  <c r="C26" i="1"/>
  <c r="C27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6" i="1"/>
  <c r="C47" i="1"/>
  <c r="C48" i="1"/>
  <c r="C49" i="1"/>
  <c r="C50" i="1"/>
  <c r="C51" i="1"/>
  <c r="D7" i="1"/>
  <c r="D8" i="1"/>
  <c r="D9" i="1"/>
  <c r="D10" i="1"/>
  <c r="D11" i="1"/>
  <c r="D12" i="1"/>
  <c r="D13" i="1"/>
  <c r="D14" i="1"/>
  <c r="D15" i="1"/>
  <c r="D16" i="1"/>
  <c r="D18" i="1"/>
  <c r="D20" i="1"/>
  <c r="D21" i="1"/>
  <c r="D22" i="1"/>
  <c r="D23" i="1"/>
  <c r="D24" i="1"/>
  <c r="D25" i="1"/>
  <c r="D26" i="1"/>
  <c r="D27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6" i="1"/>
  <c r="D47" i="1"/>
  <c r="D48" i="1"/>
  <c r="D49" i="1"/>
  <c r="D50" i="1"/>
  <c r="D51" i="1"/>
  <c r="H32" i="2"/>
  <c r="H7" i="2"/>
  <c r="H45" i="2"/>
  <c r="H43" i="2"/>
  <c r="H46" i="2"/>
  <c r="H39" i="2"/>
  <c r="H14" i="2"/>
  <c r="H5" i="2"/>
  <c r="H11" i="2"/>
  <c r="H21" i="2"/>
  <c r="H22" i="2"/>
  <c r="H25" i="2"/>
  <c r="H26" i="2"/>
  <c r="H27" i="2"/>
  <c r="H28" i="2"/>
  <c r="H29" i="2"/>
  <c r="H30" i="2"/>
  <c r="H31" i="2"/>
  <c r="H33" i="2"/>
  <c r="H34" i="2"/>
  <c r="H35" i="2"/>
  <c r="H36" i="2"/>
  <c r="H37" i="2"/>
  <c r="H38" i="2"/>
  <c r="C6" i="1"/>
  <c r="D6" i="1"/>
  <c r="L14" i="1" l="1"/>
  <c r="L16" i="1"/>
  <c r="L15" i="1"/>
  <c r="L12" i="1"/>
  <c r="L13" i="1"/>
  <c r="L5" i="1"/>
  <c r="L6" i="1"/>
  <c r="L7" i="1"/>
  <c r="L8" i="1"/>
  <c r="L9" i="1"/>
  <c r="H8" i="2"/>
  <c r="H47" i="2"/>
  <c r="H15" i="2"/>
  <c r="H40" i="2"/>
</calcChain>
</file>

<file path=xl/sharedStrings.xml><?xml version="1.0" encoding="utf-8"?>
<sst xmlns="http://schemas.openxmlformats.org/spreadsheetml/2006/main" count="269" uniqueCount="118">
  <si>
    <t>Date</t>
  </si>
  <si>
    <t>Day of Week</t>
  </si>
  <si>
    <t>Month</t>
  </si>
  <si>
    <t>Ride / Event</t>
  </si>
  <si>
    <t>Local</t>
  </si>
  <si>
    <t>Trailer</t>
  </si>
  <si>
    <t>Track</t>
  </si>
  <si>
    <t>Fairburn</t>
  </si>
  <si>
    <t>Boroughbridge</t>
  </si>
  <si>
    <t>Clitheroe</t>
  </si>
  <si>
    <t>Glasson Dock</t>
  </si>
  <si>
    <t>Church Fenton</t>
  </si>
  <si>
    <t>Hornsea</t>
  </si>
  <si>
    <t>Velodrome</t>
  </si>
  <si>
    <t>Dalby Forest</t>
  </si>
  <si>
    <t>Maintenance</t>
  </si>
  <si>
    <t>Monsal Trail</t>
  </si>
  <si>
    <t>Tissington Trail</t>
  </si>
  <si>
    <t>Distance</t>
  </si>
  <si>
    <t>Ascent</t>
  </si>
  <si>
    <t>Distance (Miles)</t>
  </si>
  <si>
    <t>Ascent (Ft)</t>
  </si>
  <si>
    <t>Undulating</t>
  </si>
  <si>
    <t>Ride Name</t>
  </si>
  <si>
    <t>Spen Valley Greenway</t>
  </si>
  <si>
    <t>900 ft</t>
  </si>
  <si>
    <t>117m</t>
  </si>
  <si>
    <t>Gargrave</t>
  </si>
  <si>
    <t>23.69 miles</t>
  </si>
  <si>
    <t>1103 ft</t>
  </si>
  <si>
    <t>26 miles</t>
  </si>
  <si>
    <t>400 ft</t>
  </si>
  <si>
    <t>500 ft</t>
  </si>
  <si>
    <t xml:space="preserve">25 miles </t>
  </si>
  <si>
    <t>28 miles</t>
  </si>
  <si>
    <t>300 ft</t>
  </si>
  <si>
    <t>Suitability</t>
  </si>
  <si>
    <t>Beginner</t>
  </si>
  <si>
    <t>Intermediate</t>
  </si>
  <si>
    <t>Humber Bridge short</t>
  </si>
  <si>
    <t>Humber Bridge long</t>
  </si>
  <si>
    <t>Advanced</t>
  </si>
  <si>
    <t>32.6 miles</t>
  </si>
  <si>
    <t>625 ft</t>
  </si>
  <si>
    <t>21.9 miles</t>
  </si>
  <si>
    <t>22.1 miles</t>
  </si>
  <si>
    <t>1150 ft</t>
  </si>
  <si>
    <t>20 miles</t>
  </si>
  <si>
    <t>525 ft</t>
  </si>
  <si>
    <t>Residential  - Harper Adams University - Cosford</t>
  </si>
  <si>
    <t>Residential  - Harper Adams University - Loynton</t>
  </si>
  <si>
    <t>750 ft max</t>
  </si>
  <si>
    <t>1100 ft</t>
  </si>
  <si>
    <t>450 ft</t>
  </si>
  <si>
    <t>150 ft</t>
  </si>
  <si>
    <t>16.4 miles</t>
  </si>
  <si>
    <t>Banked Track</t>
  </si>
  <si>
    <t>23.9 miles</t>
  </si>
  <si>
    <t>17.3 miles</t>
  </si>
  <si>
    <t>23.7 miles</t>
  </si>
  <si>
    <t>24.5 miles max</t>
  </si>
  <si>
    <t>17.7 miles</t>
  </si>
  <si>
    <t>550 ft</t>
  </si>
  <si>
    <t>New Joiner</t>
  </si>
  <si>
    <t>Brooksbank Track  - Elland</t>
  </si>
  <si>
    <t>BKCAT Track - Wakefield</t>
  </si>
  <si>
    <t>12 to 21 miles</t>
  </si>
  <si>
    <t>375 to 975 ft</t>
  </si>
  <si>
    <t>11.4 miles</t>
  </si>
  <si>
    <t>17.9 miles</t>
  </si>
  <si>
    <t>425 ft</t>
  </si>
  <si>
    <t>21.36 miles</t>
  </si>
  <si>
    <t>325 ft</t>
  </si>
  <si>
    <t>12 miles</t>
  </si>
  <si>
    <t>1025 ft</t>
  </si>
  <si>
    <t>Buckstones from Scapegoat Hill</t>
  </si>
  <si>
    <t>Number</t>
  </si>
  <si>
    <t>New local Ride</t>
  </si>
  <si>
    <t>Event</t>
  </si>
  <si>
    <t>Event Name</t>
  </si>
  <si>
    <t>N/A</t>
  </si>
  <si>
    <t>Tandem Trekkers Ride and Event Catalogue</t>
  </si>
  <si>
    <t>New Trailer Ride</t>
  </si>
  <si>
    <t>New Event</t>
  </si>
  <si>
    <t>Tandem Trekkers 2026 Ride Calendar</t>
  </si>
  <si>
    <t>Winter Maintenance and Cleaning</t>
  </si>
  <si>
    <t>All members</t>
  </si>
  <si>
    <t>Local Rides</t>
  </si>
  <si>
    <t>Trailer Rides</t>
  </si>
  <si>
    <t xml:space="preserve">Ride Type </t>
  </si>
  <si>
    <t xml:space="preserve">Intermediate </t>
  </si>
  <si>
    <t>Grease monkey</t>
  </si>
  <si>
    <t xml:space="preserve">1125 ft </t>
  </si>
  <si>
    <t>1.1 km Circuit</t>
  </si>
  <si>
    <t>750 m Circuit</t>
  </si>
  <si>
    <t>250 m Track</t>
  </si>
  <si>
    <t>York Cycle Rally - Driffield Show Ground</t>
  </si>
  <si>
    <t>T</t>
  </si>
  <si>
    <t>26.8 miles max</t>
  </si>
  <si>
    <t>Type</t>
  </si>
  <si>
    <t>Event List</t>
  </si>
  <si>
    <t>Ride Type</t>
  </si>
  <si>
    <t>Ride Type List</t>
  </si>
  <si>
    <t>Suitability List</t>
  </si>
  <si>
    <t>Local from Mirfield HQ</t>
  </si>
  <si>
    <t>Transpennine Trail Barnsley</t>
  </si>
  <si>
    <t>Transpennine Trail Penistone</t>
  </si>
  <si>
    <t>Track Session</t>
  </si>
  <si>
    <t>Ripon from Boroughbridge</t>
  </si>
  <si>
    <t>Ripon and Fountains Abbey</t>
  </si>
  <si>
    <t>Stamford Bridge</t>
  </si>
  <si>
    <t>Horbury via Ossett from Mirfield HQ</t>
  </si>
  <si>
    <t>Ossett from Mirfield HQ</t>
  </si>
  <si>
    <t>Maintenance Session 10:30am to 3:00pm</t>
  </si>
  <si>
    <t>Maintenance Session 2.00pm to 4.00pm</t>
  </si>
  <si>
    <t>13.5 miles</t>
  </si>
  <si>
    <t>18.6 miles</t>
  </si>
  <si>
    <t>800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</si>
</sst>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4" tint="-0.24997711111789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2" xfId="0" applyFont="1" applyBorder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1" fillId="0" borderId="12" xfId="0" applyFont="1" applyBorder="1" applyProtection="1">
      <protection locked="0"/>
    </xf>
    <xf numFmtId="0" fontId="0" fillId="3" borderId="2" xfId="0" applyFill="1" applyBorder="1"/>
    <xf numFmtId="0" fontId="0" fillId="3" borderId="2" xfId="0" applyFill="1" applyBorder="1" applyAlignment="1">
      <alignment horizontal="left"/>
    </xf>
    <xf numFmtId="0" fontId="0" fillId="4" borderId="2" xfId="0" applyFill="1" applyBorder="1"/>
    <xf numFmtId="0" fontId="0" fillId="4" borderId="2" xfId="0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13" xfId="0" applyFont="1" applyBorder="1"/>
    <xf numFmtId="0" fontId="0" fillId="0" borderId="1" xfId="0" applyBorder="1"/>
    <xf numFmtId="0" fontId="0" fillId="0" borderId="4" xfId="0" applyBorder="1"/>
    <xf numFmtId="0" fontId="1" fillId="0" borderId="14" xfId="0" applyFont="1" applyBorder="1" applyAlignment="1">
      <alignment horizontal="center"/>
    </xf>
    <xf numFmtId="0" fontId="5" fillId="3" borderId="2" xfId="1" applyFont="1" applyFill="1" applyBorder="1"/>
    <xf numFmtId="0" fontId="0" fillId="2" borderId="4" xfId="0" applyFill="1" applyBorder="1"/>
    <xf numFmtId="0" fontId="0" fillId="2" borderId="6" xfId="0" applyFill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6" borderId="1" xfId="0" applyFill="1" applyBorder="1" applyProtection="1">
      <protection locked="0"/>
    </xf>
    <xf numFmtId="0" fontId="0" fillId="6" borderId="3" xfId="0" applyFill="1" applyBorder="1"/>
    <xf numFmtId="0" fontId="0" fillId="5" borderId="1" xfId="0" applyFill="1" applyBorder="1"/>
    <xf numFmtId="0" fontId="0" fillId="5" borderId="3" xfId="0" applyFill="1" applyBorder="1"/>
    <xf numFmtId="0" fontId="0" fillId="4" borderId="1" xfId="0" applyFill="1" applyBorder="1"/>
    <xf numFmtId="0" fontId="0" fillId="4" borderId="3" xfId="0" applyFill="1" applyBorder="1"/>
    <xf numFmtId="14" fontId="0" fillId="7" borderId="7" xfId="0" applyNumberFormat="1" applyFill="1" applyBorder="1"/>
    <xf numFmtId="0" fontId="0" fillId="7" borderId="8" xfId="0" applyFill="1" applyBorder="1"/>
    <xf numFmtId="0" fontId="0" fillId="7" borderId="9" xfId="0" applyFill="1" applyBorder="1"/>
    <xf numFmtId="14" fontId="0" fillId="7" borderId="1" xfId="0" applyNumberFormat="1" applyFill="1" applyBorder="1"/>
    <xf numFmtId="0" fontId="0" fillId="7" borderId="2" xfId="0" applyFill="1" applyBorder="1"/>
    <xf numFmtId="0" fontId="0" fillId="7" borderId="3" xfId="0" applyFill="1" applyBorder="1"/>
    <xf numFmtId="14" fontId="0" fillId="7" borderId="4" xfId="0" applyNumberFormat="1" applyFill="1" applyBorder="1"/>
    <xf numFmtId="0" fontId="0" fillId="7" borderId="5" xfId="0" applyFill="1" applyBorder="1"/>
    <xf numFmtId="0" fontId="0" fillId="7" borderId="6" xfId="0" applyFill="1" applyBorder="1"/>
    <xf numFmtId="0" fontId="0" fillId="8" borderId="1" xfId="0" applyFill="1" applyBorder="1"/>
    <xf numFmtId="0" fontId="0" fillId="8" borderId="3" xfId="0" applyFill="1" applyBorder="1"/>
  </cellXfs>
  <cellStyles count="2">
    <cellStyle name="Hyperlink" xfId="1" builtinId="8"/>
    <cellStyle name="Normal" xfId="0" builtinId="0"/>
  </cellStyles>
  <dxfs count="5">
    <dxf>
      <fill>
        <patternFill>
          <bgColor rgb="FFFFC000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333375</xdr:colOff>
      <xdr:row>16</xdr:row>
      <xdr:rowOff>39688</xdr:rowOff>
    </xdr:from>
    <xdr:to>
      <xdr:col>12</xdr:col>
      <xdr:colOff>301340</xdr:colOff>
      <xdr:row>28</xdr:row>
      <xdr:rowOff>2573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F5DDDE-835A-13B5-5E6D-24F390B59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8625" y="3119438"/>
          <a:ext cx="2158715" cy="2158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rkrally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B8CF8-BEEB-44F4-962D-3ADFA6CB6BF8}">
  <dimension ref="A2:O51"/>
  <sheetViews>
    <sheetView showGridLines="0" tabSelected="1" zoomScale="90" zoomScaleNormal="90" workbookViewId="0">
      <pane xSplit="9" ySplit="4" topLeftCell="J5" activePane="bottomRight" state="frozen"/>
      <selection pane="topRight" activeCell="I1" sqref="I1"/>
      <selection pane="bottomLeft" activeCell="A5" sqref="A5"/>
      <selection pane="bottomRight" activeCell="E22" sqref="E22"/>
    </sheetView>
  </sheetViews>
  <sheetFormatPr defaultRowHeight="14.4" x14ac:dyDescent="0.3"/>
  <cols>
    <col min="1" max="1" width="3.33203125" customWidth="1"/>
    <col min="2" max="2" width="10.77734375" customWidth="1"/>
    <col min="3" max="3" width="14.109375" bestFit="1" customWidth="1"/>
    <col min="4" max="4" width="10" bestFit="1" customWidth="1"/>
    <col min="5" max="5" width="43.109375" customWidth="1"/>
    <col min="6" max="6" width="19.44140625" bestFit="1" customWidth="1"/>
    <col min="7" max="8" width="16.21875" customWidth="1"/>
    <col min="9" max="9" width="13.77734375" bestFit="1" customWidth="1"/>
    <col min="11" max="11" width="13.77734375" customWidth="1"/>
    <col min="12" max="12" width="8.88671875" customWidth="1"/>
    <col min="13" max="13" width="15.6640625" style="8" customWidth="1"/>
    <col min="14" max="15" width="14" style="8" customWidth="1"/>
  </cols>
  <sheetData>
    <row r="2" spans="1:12" ht="23.4" x14ac:dyDescent="0.45">
      <c r="B2" s="16" t="s">
        <v>84</v>
      </c>
    </row>
    <row r="3" spans="1:12" ht="15" thickBot="1" x14ac:dyDescent="0.35"/>
    <row r="4" spans="1:12" ht="15" thickBot="1" x14ac:dyDescent="0.35">
      <c r="B4" s="5" t="s">
        <v>0</v>
      </c>
      <c r="C4" s="6" t="s">
        <v>1</v>
      </c>
      <c r="D4" s="6" t="s">
        <v>2</v>
      </c>
      <c r="E4" s="6" t="s">
        <v>3</v>
      </c>
      <c r="F4" s="6" t="s">
        <v>101</v>
      </c>
      <c r="G4" s="6" t="s">
        <v>18</v>
      </c>
      <c r="H4" s="6" t="s">
        <v>19</v>
      </c>
      <c r="I4" s="11" t="s">
        <v>36</v>
      </c>
      <c r="K4" s="18" t="s">
        <v>89</v>
      </c>
      <c r="L4" s="21" t="s">
        <v>76</v>
      </c>
    </row>
    <row r="5" spans="1:12" x14ac:dyDescent="0.3">
      <c r="A5" s="17">
        <v>0</v>
      </c>
      <c r="B5" s="37">
        <v>46060</v>
      </c>
      <c r="C5" s="38" t="str">
        <f t="shared" ref="C5" si="0">TEXT(B5, "dddd")</f>
        <v>Saturday</v>
      </c>
      <c r="D5" s="38" t="str">
        <f t="shared" ref="D5" si="1">TEXT(B5, "mmmm")</f>
        <v>February</v>
      </c>
      <c r="E5" s="38" t="s">
        <v>113</v>
      </c>
      <c r="F5" s="38" t="str">
        <f>VLOOKUP(E5,'Ride and Event Catalogue'!$C$5:$G$46,2,FALSE)</f>
        <v>Maintenance</v>
      </c>
      <c r="G5" s="38" t="str">
        <f>VLOOKUP(E5,'Ride and Event Catalogue'!$C$5:$G$46,3,FALSE)</f>
        <v>N/A</v>
      </c>
      <c r="H5" s="38" t="str">
        <f>VLOOKUP(E5,'Ride and Event Catalogue'!$C$5:$G$46,4,FALSE)</f>
        <v>N/A</v>
      </c>
      <c r="I5" s="39" t="str">
        <f>VLOOKUP(E5,'Ride and Event Catalogue'!$C$5:$G$46,5,FALSE)</f>
        <v>Grease monkey</v>
      </c>
      <c r="K5" s="31" t="s">
        <v>107</v>
      </c>
      <c r="L5" s="32">
        <f>COUNTIF(F4:F51,"Track Session")</f>
        <v>6</v>
      </c>
    </row>
    <row r="6" spans="1:12" x14ac:dyDescent="0.3">
      <c r="A6">
        <v>1</v>
      </c>
      <c r="B6" s="37">
        <v>46088</v>
      </c>
      <c r="C6" s="38" t="str">
        <f t="shared" ref="C6:C51" si="2">TEXT(B6, "dddd")</f>
        <v>Saturday</v>
      </c>
      <c r="D6" s="38" t="str">
        <f t="shared" ref="D6:D51" si="3">TEXT(B6, "mmmm")</f>
        <v>March</v>
      </c>
      <c r="E6" s="38" t="s">
        <v>65</v>
      </c>
      <c r="F6" s="38" t="str">
        <f>VLOOKUP(E6,'Ride and Event Catalogue'!$C$5:$G$46,2,FALSE)</f>
        <v>Track Session</v>
      </c>
      <c r="G6" s="38" t="str">
        <f>VLOOKUP(E6,'Ride and Event Catalogue'!$C$5:$G$46,3,FALSE)</f>
        <v>1.1 km Circuit</v>
      </c>
      <c r="H6" s="38" t="str">
        <f>VLOOKUP(E6,'Ride and Event Catalogue'!$C$5:$G$46,4,FALSE)</f>
        <v>Undulating</v>
      </c>
      <c r="I6" s="39" t="str">
        <f>VLOOKUP(E6,'Ride and Event Catalogue'!$C$5:$G$46,5,FALSE)</f>
        <v>New Joiner</v>
      </c>
      <c r="K6" s="46" t="s">
        <v>13</v>
      </c>
      <c r="L6" s="47">
        <f>COUNTIF(F6:F52,"Velodrome")</f>
        <v>0</v>
      </c>
    </row>
    <row r="7" spans="1:12" x14ac:dyDescent="0.3">
      <c r="A7">
        <v>1</v>
      </c>
      <c r="B7" s="40">
        <v>46095</v>
      </c>
      <c r="C7" s="41" t="str">
        <f t="shared" si="2"/>
        <v>Saturday</v>
      </c>
      <c r="D7" s="41" t="str">
        <f t="shared" si="3"/>
        <v>March</v>
      </c>
      <c r="E7" s="41" t="s">
        <v>24</v>
      </c>
      <c r="F7" s="41" t="str">
        <f>VLOOKUP(E7,'Ride and Event Catalogue'!$C$5:$G$46,2,FALSE)</f>
        <v>Local from Mirfield HQ</v>
      </c>
      <c r="G7" s="41" t="str">
        <f>VLOOKUP(E7,'Ride and Event Catalogue'!$C$5:$G$46,3,FALSE)</f>
        <v>17.7 miles</v>
      </c>
      <c r="H7" s="41" t="str">
        <f>VLOOKUP(E7,'Ride and Event Catalogue'!$C$5:$G$46,4,FALSE)</f>
        <v>550 ft</v>
      </c>
      <c r="I7" s="42" t="str">
        <f>VLOOKUP(E7,'Ride and Event Catalogue'!$C$5:$G$46,5,FALSE)</f>
        <v>Beginner</v>
      </c>
      <c r="K7" s="33" t="s">
        <v>87</v>
      </c>
      <c r="L7" s="34">
        <f>COUNTIF(F4:F51,"Local from Mirfield HQ")</f>
        <v>14</v>
      </c>
    </row>
    <row r="8" spans="1:12" x14ac:dyDescent="0.3">
      <c r="A8">
        <v>2</v>
      </c>
      <c r="B8" s="40">
        <v>46102</v>
      </c>
      <c r="C8" s="41" t="str">
        <f t="shared" si="2"/>
        <v>Saturday</v>
      </c>
      <c r="D8" s="41" t="str">
        <f t="shared" si="3"/>
        <v>March</v>
      </c>
      <c r="E8" s="41" t="s">
        <v>7</v>
      </c>
      <c r="F8" s="41" t="str">
        <f>VLOOKUP(E8,'Ride and Event Catalogue'!$C$5:$G$46,2,FALSE)</f>
        <v>Trailer</v>
      </c>
      <c r="G8" s="41" t="str">
        <f>VLOOKUP(E8,'Ride and Event Catalogue'!$C$5:$G$46,3,FALSE)</f>
        <v>21.36 miles</v>
      </c>
      <c r="H8" s="41" t="str">
        <f>VLOOKUP(E8,'Ride and Event Catalogue'!$C$5:$G$46,4,FALSE)</f>
        <v>117m</v>
      </c>
      <c r="I8" s="42" t="str">
        <f>VLOOKUP(E8,'Ride and Event Catalogue'!$C$5:$G$46,5,FALSE)</f>
        <v>Intermediate</v>
      </c>
      <c r="K8" s="35" t="s">
        <v>88</v>
      </c>
      <c r="L8" s="36">
        <f>COUNTIF(F4:F51,"Trailer")</f>
        <v>22</v>
      </c>
    </row>
    <row r="9" spans="1:12" ht="15" thickBot="1" x14ac:dyDescent="0.35">
      <c r="A9">
        <v>3</v>
      </c>
      <c r="B9" s="40">
        <v>46109</v>
      </c>
      <c r="C9" s="41" t="str">
        <f t="shared" si="2"/>
        <v>Saturday</v>
      </c>
      <c r="D9" s="41" t="str">
        <f t="shared" si="3"/>
        <v>March</v>
      </c>
      <c r="E9" s="41" t="s">
        <v>108</v>
      </c>
      <c r="F9" s="41" t="str">
        <f>VLOOKUP(E9,'Ride and Event Catalogue'!$C$5:$G$46,2,FALSE)</f>
        <v>Trailer</v>
      </c>
      <c r="G9" s="41" t="str">
        <f>VLOOKUP(E9,'Ride and Event Catalogue'!$C$5:$G$46,3,FALSE)</f>
        <v>17.3 miles</v>
      </c>
      <c r="H9" s="41" t="str">
        <f>VLOOKUP(E9,'Ride and Event Catalogue'!$C$5:$G$46,4,FALSE)</f>
        <v>325 ft</v>
      </c>
      <c r="I9" s="42" t="str">
        <f>VLOOKUP(E9,'Ride and Event Catalogue'!$C$5:$G$46,5,FALSE)</f>
        <v>Intermediate</v>
      </c>
      <c r="K9" s="23" t="s">
        <v>15</v>
      </c>
      <c r="L9" s="24">
        <f>COUNTIF(F4:F51,"Maintenance")</f>
        <v>5</v>
      </c>
    </row>
    <row r="10" spans="1:12" ht="15" thickBot="1" x14ac:dyDescent="0.35">
      <c r="A10">
        <v>4</v>
      </c>
      <c r="B10" s="40">
        <v>46116</v>
      </c>
      <c r="C10" s="41" t="str">
        <f t="shared" si="2"/>
        <v>Saturday</v>
      </c>
      <c r="D10" s="41" t="str">
        <f t="shared" si="3"/>
        <v>April</v>
      </c>
      <c r="E10" s="41" t="s">
        <v>112</v>
      </c>
      <c r="F10" s="41" t="str">
        <f>VLOOKUP(E10,'Ride and Event Catalogue'!$C$5:$G$46,2,FALSE)</f>
        <v>Local from Mirfield HQ</v>
      </c>
      <c r="G10" s="41" t="str">
        <f>VLOOKUP(E10,'Ride and Event Catalogue'!$C$5:$G$46,3,FALSE)</f>
        <v>13.5 miles</v>
      </c>
      <c r="H10" s="41" t="str">
        <f>VLOOKUP(E10,'Ride and Event Catalogue'!$C$5:$G$46,4,FALSE)</f>
        <v>525 ft</v>
      </c>
      <c r="I10" s="42" t="str">
        <f>VLOOKUP(E10,'Ride and Event Catalogue'!$C$5:$G$46,5,FALSE)</f>
        <v>Intermediate</v>
      </c>
    </row>
    <row r="11" spans="1:12" x14ac:dyDescent="0.3">
      <c r="A11">
        <v>5</v>
      </c>
      <c r="B11" s="40">
        <v>46123</v>
      </c>
      <c r="C11" s="41" t="str">
        <f t="shared" si="2"/>
        <v>Saturday</v>
      </c>
      <c r="D11" s="41" t="str">
        <f t="shared" si="3"/>
        <v>April</v>
      </c>
      <c r="E11" s="41" t="s">
        <v>110</v>
      </c>
      <c r="F11" s="41" t="str">
        <f>VLOOKUP(E11,'Ride and Event Catalogue'!$C$5:$G$46,2,FALSE)</f>
        <v>Trailer</v>
      </c>
      <c r="G11" s="41" t="str">
        <f>VLOOKUP(E11,'Ride and Event Catalogue'!$C$5:$G$46,3,FALSE)</f>
        <v>22.1 miles</v>
      </c>
      <c r="H11" s="41" t="str">
        <f>VLOOKUP(E11,'Ride and Event Catalogue'!$C$5:$G$46,4,FALSE)</f>
        <v>400 ft</v>
      </c>
      <c r="I11" s="42" t="str">
        <f>VLOOKUP(E11,'Ride and Event Catalogue'!$C$5:$G$46,5,FALSE)</f>
        <v>Intermediate</v>
      </c>
      <c r="K11" s="18" t="s">
        <v>36</v>
      </c>
      <c r="L11" s="21" t="s">
        <v>76</v>
      </c>
    </row>
    <row r="12" spans="1:12" x14ac:dyDescent="0.3">
      <c r="A12">
        <v>6</v>
      </c>
      <c r="B12" s="40">
        <v>46130</v>
      </c>
      <c r="C12" s="41" t="str">
        <f t="shared" si="2"/>
        <v>Saturday</v>
      </c>
      <c r="D12" s="41" t="str">
        <f t="shared" si="3"/>
        <v>April</v>
      </c>
      <c r="E12" s="41" t="s">
        <v>106</v>
      </c>
      <c r="F12" s="41" t="str">
        <f>VLOOKUP(E12,'Ride and Event Catalogue'!$C$5:$G$46,2,FALSE)</f>
        <v>Trailer</v>
      </c>
      <c r="G12" s="41" t="str">
        <f>VLOOKUP(E12,'Ride and Event Catalogue'!$C$5:$G$46,3,FALSE)</f>
        <v>24.5 miles max</v>
      </c>
      <c r="H12" s="41" t="str">
        <f>VLOOKUP(E12,'Ride and Event Catalogue'!$C$5:$G$46,4,FALSE)</f>
        <v>750 ft max</v>
      </c>
      <c r="I12" s="42" t="str">
        <f>VLOOKUP(E12,'Ride and Event Catalogue'!$C$5:$G$46,5,FALSE)</f>
        <v>Beginner</v>
      </c>
      <c r="K12" s="19" t="s">
        <v>63</v>
      </c>
      <c r="L12" s="3">
        <f>COUNTIF('2026 Ride Calendar'!I4:I51,"New Joiner")</f>
        <v>6</v>
      </c>
    </row>
    <row r="13" spans="1:12" x14ac:dyDescent="0.3">
      <c r="A13" s="17" t="s">
        <v>97</v>
      </c>
      <c r="B13" s="40">
        <v>46137</v>
      </c>
      <c r="C13" s="41" t="str">
        <f t="shared" si="2"/>
        <v>Saturday</v>
      </c>
      <c r="D13" s="41" t="str">
        <f t="shared" si="3"/>
        <v>April</v>
      </c>
      <c r="E13" s="41" t="s">
        <v>65</v>
      </c>
      <c r="F13" s="41" t="str">
        <f>VLOOKUP(E13,'Ride and Event Catalogue'!$C$5:$G$46,2,FALSE)</f>
        <v>Track Session</v>
      </c>
      <c r="G13" s="41" t="str">
        <f>VLOOKUP(E13,'Ride and Event Catalogue'!$C$5:$G$46,3,FALSE)</f>
        <v>1.1 km Circuit</v>
      </c>
      <c r="H13" s="41" t="str">
        <f>VLOOKUP(E13,'Ride and Event Catalogue'!$C$5:$G$46,4,FALSE)</f>
        <v>Undulating</v>
      </c>
      <c r="I13" s="42" t="str">
        <f>VLOOKUP(E13,'Ride and Event Catalogue'!$C$5:$G$46,5,FALSE)</f>
        <v>New Joiner</v>
      </c>
      <c r="K13" s="19" t="s">
        <v>37</v>
      </c>
      <c r="L13" s="3">
        <f>COUNTIF('2026 Ride Calendar'!I4:I51,"Beginner")</f>
        <v>12</v>
      </c>
    </row>
    <row r="14" spans="1:12" x14ac:dyDescent="0.3">
      <c r="A14">
        <v>1</v>
      </c>
      <c r="B14" s="40">
        <v>46144</v>
      </c>
      <c r="C14" s="41" t="str">
        <f t="shared" si="2"/>
        <v>Saturday</v>
      </c>
      <c r="D14" s="41" t="str">
        <f t="shared" si="3"/>
        <v>May</v>
      </c>
      <c r="E14" s="41" t="s">
        <v>24</v>
      </c>
      <c r="F14" s="41" t="str">
        <f>VLOOKUP(E14,'Ride and Event Catalogue'!$C$5:$G$46,2,FALSE)</f>
        <v>Local from Mirfield HQ</v>
      </c>
      <c r="G14" s="41" t="str">
        <f>VLOOKUP(E14,'Ride and Event Catalogue'!$C$5:$G$46,3,FALSE)</f>
        <v>17.7 miles</v>
      </c>
      <c r="H14" s="41" t="str">
        <f>VLOOKUP(E14,'Ride and Event Catalogue'!$C$5:$G$46,4,FALSE)</f>
        <v>550 ft</v>
      </c>
      <c r="I14" s="42" t="str">
        <f>VLOOKUP(E14,'Ride and Event Catalogue'!$C$5:$G$46,5,FALSE)</f>
        <v>Beginner</v>
      </c>
      <c r="K14" s="19" t="s">
        <v>90</v>
      </c>
      <c r="L14" s="3">
        <f>COUNTIF('2026 Ride Calendar'!I4:I51,"Intermediate")</f>
        <v>15</v>
      </c>
    </row>
    <row r="15" spans="1:12" x14ac:dyDescent="0.3">
      <c r="A15">
        <v>2</v>
      </c>
      <c r="B15" s="40">
        <v>46151</v>
      </c>
      <c r="C15" s="41" t="str">
        <f t="shared" si="2"/>
        <v>Saturday</v>
      </c>
      <c r="D15" s="41" t="str">
        <f t="shared" si="3"/>
        <v>May</v>
      </c>
      <c r="E15" s="41" t="s">
        <v>105</v>
      </c>
      <c r="F15" s="41" t="str">
        <f>VLOOKUP(E15,'Ride and Event Catalogue'!$C$5:$G$46,2,FALSE)</f>
        <v>Trailer</v>
      </c>
      <c r="G15" s="41" t="str">
        <f>VLOOKUP(E15,'Ride and Event Catalogue'!$C$5:$G$46,3,FALSE)</f>
        <v>12 to 21 miles</v>
      </c>
      <c r="H15" s="41" t="str">
        <f>VLOOKUP(E15,'Ride and Event Catalogue'!$C$5:$G$46,4,FALSE)</f>
        <v>375 to 975 ft</v>
      </c>
      <c r="I15" s="42" t="str">
        <f>VLOOKUP(E15,'Ride and Event Catalogue'!$C$5:$G$46,5,FALSE)</f>
        <v>Beginner</v>
      </c>
      <c r="K15" s="19" t="s">
        <v>41</v>
      </c>
      <c r="L15" s="3">
        <f>COUNTIF('2026 Ride Calendar'!I4:I51,"Advanced")</f>
        <v>9</v>
      </c>
    </row>
    <row r="16" spans="1:12" ht="15" thickBot="1" x14ac:dyDescent="0.35">
      <c r="A16">
        <v>3</v>
      </c>
      <c r="B16" s="40">
        <v>46158</v>
      </c>
      <c r="C16" s="41" t="str">
        <f t="shared" si="2"/>
        <v>Saturday</v>
      </c>
      <c r="D16" s="41" t="str">
        <f t="shared" si="3"/>
        <v>May</v>
      </c>
      <c r="E16" s="41" t="s">
        <v>39</v>
      </c>
      <c r="F16" s="41" t="str">
        <f>VLOOKUP(E16,'Ride and Event Catalogue'!$C$5:$G$46,2,FALSE)</f>
        <v>Trailer</v>
      </c>
      <c r="G16" s="41" t="str">
        <f>VLOOKUP(E16,'Ride and Event Catalogue'!$C$5:$G$46,3,FALSE)</f>
        <v>21.9 miles</v>
      </c>
      <c r="H16" s="41" t="str">
        <f>VLOOKUP(E16,'Ride and Event Catalogue'!$C$5:$G$46,4,FALSE)</f>
        <v>625 ft</v>
      </c>
      <c r="I16" s="42" t="str">
        <f>VLOOKUP(E16,'Ride and Event Catalogue'!$C$5:$G$46,5,FALSE)</f>
        <v>Intermediate</v>
      </c>
      <c r="K16" s="20" t="s">
        <v>91</v>
      </c>
      <c r="L16" s="4">
        <f>COUNTIF('2026 Ride Calendar'!I4:I51,"Grease monkey")</f>
        <v>4</v>
      </c>
    </row>
    <row r="17" spans="1:9" x14ac:dyDescent="0.3">
      <c r="A17">
        <v>3</v>
      </c>
      <c r="B17" s="40">
        <v>46158</v>
      </c>
      <c r="C17" s="41" t="str">
        <f t="shared" si="2"/>
        <v>Saturday</v>
      </c>
      <c r="D17" s="41" t="str">
        <f t="shared" si="3"/>
        <v>May</v>
      </c>
      <c r="E17" s="41" t="s">
        <v>40</v>
      </c>
      <c r="F17" s="41" t="str">
        <f>VLOOKUP(E17,'Ride and Event Catalogue'!$C$5:$G$46,2,FALSE)</f>
        <v>Trailer</v>
      </c>
      <c r="G17" s="41" t="str">
        <f>VLOOKUP(E17,'Ride and Event Catalogue'!$C$5:$G$46,3,FALSE)</f>
        <v>32.6 miles</v>
      </c>
      <c r="H17" s="41" t="str">
        <f>VLOOKUP(E17,'Ride and Event Catalogue'!$C$5:$G$46,4,FALSE)</f>
        <v>1150 ft</v>
      </c>
      <c r="I17" s="42" t="str">
        <f>VLOOKUP(E17,'Ride and Event Catalogue'!$C$5:$G$46,5,FALSE)</f>
        <v>Advanced</v>
      </c>
    </row>
    <row r="18" spans="1:9" x14ac:dyDescent="0.3">
      <c r="A18">
        <v>4</v>
      </c>
      <c r="B18" s="40">
        <v>46165</v>
      </c>
      <c r="C18" s="41" t="str">
        <f t="shared" si="2"/>
        <v>Saturday</v>
      </c>
      <c r="D18" s="41" t="str">
        <f t="shared" si="3"/>
        <v>May</v>
      </c>
      <c r="E18" s="41" t="s">
        <v>112</v>
      </c>
      <c r="F18" s="41" t="str">
        <f>VLOOKUP(E18,'Ride and Event Catalogue'!$C$5:$G$46,2,FALSE)</f>
        <v>Local from Mirfield HQ</v>
      </c>
      <c r="G18" s="41" t="str">
        <f>VLOOKUP(E18,'Ride and Event Catalogue'!$C$5:$G$46,3,FALSE)</f>
        <v>13.5 miles</v>
      </c>
      <c r="H18" s="41" t="str">
        <f>VLOOKUP(E18,'Ride and Event Catalogue'!$C$5:$G$46,4,FALSE)</f>
        <v>525 ft</v>
      </c>
      <c r="I18" s="42" t="str">
        <f>VLOOKUP(E18,'Ride and Event Catalogue'!$C$5:$G$46,5,FALSE)</f>
        <v>Intermediate</v>
      </c>
    </row>
    <row r="19" spans="1:9" x14ac:dyDescent="0.3">
      <c r="A19">
        <v>4</v>
      </c>
      <c r="B19" s="40">
        <v>46165</v>
      </c>
      <c r="C19" s="41" t="str">
        <f t="shared" si="2"/>
        <v>Saturday</v>
      </c>
      <c r="D19" s="41" t="str">
        <f t="shared" si="3"/>
        <v>May</v>
      </c>
      <c r="E19" s="41" t="s">
        <v>111</v>
      </c>
      <c r="F19" s="41" t="str">
        <f>VLOOKUP(E19,'Ride and Event Catalogue'!$C$5:$G$46,2,FALSE)</f>
        <v>Local from Mirfield HQ</v>
      </c>
      <c r="G19" s="41" t="str">
        <f>VLOOKUP(E19,'Ride and Event Catalogue'!$C$5:$G$46,3,FALSE)</f>
        <v>18.6 miles</v>
      </c>
      <c r="H19" s="41" t="str">
        <f>VLOOKUP(E19,'Ride and Event Catalogue'!$C$5:$G$46,4,FALSE)</f>
        <v>800 ft</v>
      </c>
      <c r="I19" s="42" t="str">
        <f>VLOOKUP(E19,'Ride and Event Catalogue'!$C$5:$G$46,5,FALSE)</f>
        <v>Advanced</v>
      </c>
    </row>
    <row r="20" spans="1:9" x14ac:dyDescent="0.3">
      <c r="A20">
        <v>4</v>
      </c>
      <c r="B20" s="40">
        <v>46165</v>
      </c>
      <c r="C20" s="41" t="str">
        <f t="shared" si="2"/>
        <v>Saturday</v>
      </c>
      <c r="D20" s="41" t="str">
        <f t="shared" si="3"/>
        <v>May</v>
      </c>
      <c r="E20" s="41" t="s">
        <v>114</v>
      </c>
      <c r="F20" s="41" t="str">
        <f>VLOOKUP(E20,'Ride and Event Catalogue'!$C$5:$G$46,2,FALSE)</f>
        <v>Maintenance</v>
      </c>
      <c r="G20" s="41" t="str">
        <f>VLOOKUP(E20,'Ride and Event Catalogue'!$C$5:$G$46,3,FALSE)</f>
        <v>N/A</v>
      </c>
      <c r="H20" s="41" t="str">
        <f>VLOOKUP(E20,'Ride and Event Catalogue'!$C$5:$G$46,4,FALSE)</f>
        <v>N/A</v>
      </c>
      <c r="I20" s="42" t="str">
        <f>VLOOKUP(E20,'Ride and Event Catalogue'!$C$5:$G$46,5,FALSE)</f>
        <v>Grease monkey</v>
      </c>
    </row>
    <row r="21" spans="1:9" x14ac:dyDescent="0.3">
      <c r="A21">
        <v>5</v>
      </c>
      <c r="B21" s="40">
        <v>46172</v>
      </c>
      <c r="C21" s="41" t="str">
        <f t="shared" si="2"/>
        <v>Saturday</v>
      </c>
      <c r="D21" s="41" t="str">
        <f t="shared" si="3"/>
        <v>May</v>
      </c>
      <c r="E21" s="41" t="s">
        <v>12</v>
      </c>
      <c r="F21" s="41" t="str">
        <f>VLOOKUP(E21,'Ride and Event Catalogue'!$C$5:$G$46,2,FALSE)</f>
        <v>Trailer</v>
      </c>
      <c r="G21" s="41" t="str">
        <f>VLOOKUP(E21,'Ride and Event Catalogue'!$C$5:$G$46,3,FALSE)</f>
        <v>28 miles</v>
      </c>
      <c r="H21" s="41" t="str">
        <f>VLOOKUP(E21,'Ride and Event Catalogue'!$C$5:$G$46,4,FALSE)</f>
        <v>300 ft</v>
      </c>
      <c r="I21" s="42" t="str">
        <f>VLOOKUP(E21,'Ride and Event Catalogue'!$C$5:$G$46,5,FALSE)</f>
        <v>Advanced</v>
      </c>
    </row>
    <row r="22" spans="1:9" x14ac:dyDescent="0.3">
      <c r="A22" s="17" t="s">
        <v>97</v>
      </c>
      <c r="B22" s="40">
        <v>46179</v>
      </c>
      <c r="C22" s="41" t="str">
        <f t="shared" si="2"/>
        <v>Saturday</v>
      </c>
      <c r="D22" s="41" t="str">
        <f t="shared" si="3"/>
        <v>June</v>
      </c>
      <c r="E22" s="41" t="s">
        <v>64</v>
      </c>
      <c r="F22" s="41" t="str">
        <f>VLOOKUP(E22,'Ride and Event Catalogue'!$C$5:$G$46,2,FALSE)</f>
        <v>Track Session</v>
      </c>
      <c r="G22" s="41" t="str">
        <f>VLOOKUP(E22,'Ride and Event Catalogue'!$C$5:$G$46,3,FALSE)</f>
        <v>750 m Circuit</v>
      </c>
      <c r="H22" s="41" t="str">
        <f>VLOOKUP(E22,'Ride and Event Catalogue'!$C$5:$G$46,4,FALSE)</f>
        <v>Undulating</v>
      </c>
      <c r="I22" s="42" t="str">
        <f>VLOOKUP(E22,'Ride and Event Catalogue'!$C$5:$G$46,5,FALSE)</f>
        <v>New Joiner</v>
      </c>
    </row>
    <row r="23" spans="1:9" x14ac:dyDescent="0.3">
      <c r="A23">
        <v>1</v>
      </c>
      <c r="B23" s="40">
        <v>46186</v>
      </c>
      <c r="C23" s="41" t="str">
        <f t="shared" si="2"/>
        <v>Saturday</v>
      </c>
      <c r="D23" s="41" t="str">
        <f t="shared" si="3"/>
        <v>June</v>
      </c>
      <c r="E23" s="41" t="s">
        <v>96</v>
      </c>
      <c r="F23" s="41" t="str">
        <f>VLOOKUP(E23,'Ride and Event Catalogue'!$C$5:$G$46,2,FALSE)</f>
        <v>Trailer</v>
      </c>
      <c r="G23" s="41" t="str">
        <f>VLOOKUP(E23,'Ride and Event Catalogue'!$C$5:$G$46,3,FALSE)</f>
        <v>16.4 miles</v>
      </c>
      <c r="H23" s="41" t="str">
        <f>VLOOKUP(E23,'Ride and Event Catalogue'!$C$5:$G$46,4,FALSE)</f>
        <v>150 ft</v>
      </c>
      <c r="I23" s="42" t="str">
        <f>VLOOKUP(E23,'Ride and Event Catalogue'!$C$5:$G$46,5,FALSE)</f>
        <v>Beginner</v>
      </c>
    </row>
    <row r="24" spans="1:9" x14ac:dyDescent="0.3">
      <c r="A24">
        <v>2</v>
      </c>
      <c r="B24" s="40">
        <v>46193</v>
      </c>
      <c r="C24" s="41" t="str">
        <f t="shared" si="2"/>
        <v>Saturday</v>
      </c>
      <c r="D24" s="41" t="str">
        <f t="shared" si="3"/>
        <v>June</v>
      </c>
      <c r="E24" s="41" t="s">
        <v>24</v>
      </c>
      <c r="F24" s="41" t="str">
        <f>VLOOKUP(E24,'Ride and Event Catalogue'!$C$5:$G$46,2,FALSE)</f>
        <v>Local from Mirfield HQ</v>
      </c>
      <c r="G24" s="41" t="str">
        <f>VLOOKUP(E24,'Ride and Event Catalogue'!$C$5:$G$46,3,FALSE)</f>
        <v>17.7 miles</v>
      </c>
      <c r="H24" s="41" t="str">
        <f>VLOOKUP(E24,'Ride and Event Catalogue'!$C$5:$G$46,4,FALSE)</f>
        <v>550 ft</v>
      </c>
      <c r="I24" s="42" t="str">
        <f>VLOOKUP(E24,'Ride and Event Catalogue'!$C$5:$G$46,5,FALSE)</f>
        <v>Beginner</v>
      </c>
    </row>
    <row r="25" spans="1:9" x14ac:dyDescent="0.3">
      <c r="A25">
        <v>3</v>
      </c>
      <c r="B25" s="40">
        <v>46200</v>
      </c>
      <c r="C25" s="41" t="str">
        <f t="shared" si="2"/>
        <v>Saturday</v>
      </c>
      <c r="D25" s="41" t="str">
        <f t="shared" si="3"/>
        <v>June</v>
      </c>
      <c r="E25" s="41" t="s">
        <v>11</v>
      </c>
      <c r="F25" s="41" t="str">
        <f>VLOOKUP(E25,'Ride and Event Catalogue'!$C$5:$G$46,2,FALSE)</f>
        <v>Trailer</v>
      </c>
      <c r="G25" s="41" t="str">
        <f>VLOOKUP(E25,'Ride and Event Catalogue'!$C$5:$G$46,3,FALSE)</f>
        <v>26 miles</v>
      </c>
      <c r="H25" s="41" t="str">
        <f>VLOOKUP(E25,'Ride and Event Catalogue'!$C$5:$G$46,4,FALSE)</f>
        <v>400 ft</v>
      </c>
      <c r="I25" s="42" t="str">
        <f>VLOOKUP(E25,'Ride and Event Catalogue'!$C$5:$G$46,5,FALSE)</f>
        <v>Advanced</v>
      </c>
    </row>
    <row r="26" spans="1:9" x14ac:dyDescent="0.3">
      <c r="A26">
        <v>4</v>
      </c>
      <c r="B26" s="40">
        <v>46207</v>
      </c>
      <c r="C26" s="41" t="str">
        <f t="shared" si="2"/>
        <v>Saturday</v>
      </c>
      <c r="D26" s="41" t="str">
        <f t="shared" si="3"/>
        <v>July</v>
      </c>
      <c r="E26" s="41" t="s">
        <v>109</v>
      </c>
      <c r="F26" s="41" t="str">
        <f>VLOOKUP(E26,'Ride and Event Catalogue'!$C$5:$G$46,2,FALSE)</f>
        <v>Trailer</v>
      </c>
      <c r="G26" s="41" t="str">
        <f>VLOOKUP(E26,'Ride and Event Catalogue'!$C$5:$G$46,3,FALSE)</f>
        <v>23.7 miles</v>
      </c>
      <c r="H26" s="41" t="str">
        <f>VLOOKUP(E26,'Ride and Event Catalogue'!$C$5:$G$46,4,FALSE)</f>
        <v>625 ft</v>
      </c>
      <c r="I26" s="42" t="str">
        <f>VLOOKUP(E26,'Ride and Event Catalogue'!$C$5:$G$46,5,FALSE)</f>
        <v>Advanced</v>
      </c>
    </row>
    <row r="27" spans="1:9" x14ac:dyDescent="0.3">
      <c r="A27">
        <v>5</v>
      </c>
      <c r="B27" s="40">
        <v>46214</v>
      </c>
      <c r="C27" s="41" t="str">
        <f t="shared" si="2"/>
        <v>Saturday</v>
      </c>
      <c r="D27" s="41" t="str">
        <f t="shared" si="3"/>
        <v>July</v>
      </c>
      <c r="E27" s="41" t="s">
        <v>112</v>
      </c>
      <c r="F27" s="41" t="str">
        <f>VLOOKUP(E27,'Ride and Event Catalogue'!$C$5:$G$46,2,FALSE)</f>
        <v>Local from Mirfield HQ</v>
      </c>
      <c r="G27" s="41" t="str">
        <f>VLOOKUP(E27,'Ride and Event Catalogue'!$C$5:$G$46,3,FALSE)</f>
        <v>13.5 miles</v>
      </c>
      <c r="H27" s="41" t="str">
        <f>VLOOKUP(E27,'Ride and Event Catalogue'!$C$5:$G$46,4,FALSE)</f>
        <v>525 ft</v>
      </c>
      <c r="I27" s="42" t="str">
        <f>VLOOKUP(E27,'Ride and Event Catalogue'!$C$5:$G$46,5,FALSE)</f>
        <v>Intermediate</v>
      </c>
    </row>
    <row r="28" spans="1:9" x14ac:dyDescent="0.3">
      <c r="B28" s="40">
        <v>46214</v>
      </c>
      <c r="C28" s="41" t="str">
        <f t="shared" si="2"/>
        <v>Saturday</v>
      </c>
      <c r="D28" s="41" t="str">
        <f t="shared" si="3"/>
        <v>July</v>
      </c>
      <c r="E28" s="41" t="s">
        <v>111</v>
      </c>
      <c r="F28" s="41" t="str">
        <f>VLOOKUP(E28,'Ride and Event Catalogue'!$C$5:$G$46,2,FALSE)</f>
        <v>Local from Mirfield HQ</v>
      </c>
      <c r="G28" s="41" t="str">
        <f>VLOOKUP(E28,'Ride and Event Catalogue'!$C$5:$G$46,3,FALSE)</f>
        <v>18.6 miles</v>
      </c>
      <c r="H28" s="41" t="str">
        <f>VLOOKUP(E28,'Ride and Event Catalogue'!$C$5:$G$46,4,FALSE)</f>
        <v>800 ft</v>
      </c>
      <c r="I28" s="42" t="str">
        <f>VLOOKUP(E28,'Ride and Event Catalogue'!$C$5:$G$46,5,FALSE)</f>
        <v>Advanced</v>
      </c>
    </row>
    <row r="29" spans="1:9" x14ac:dyDescent="0.3">
      <c r="A29">
        <v>6</v>
      </c>
      <c r="B29" s="40">
        <v>46221</v>
      </c>
      <c r="C29" s="41" t="str">
        <f t="shared" si="2"/>
        <v>Saturday</v>
      </c>
      <c r="D29" s="41" t="str">
        <f t="shared" si="3"/>
        <v>July</v>
      </c>
      <c r="E29" s="41" t="s">
        <v>14</v>
      </c>
      <c r="F29" s="41" t="str">
        <f>VLOOKUP(E29,'Ride and Event Catalogue'!$C$5:$G$46,2,FALSE)</f>
        <v>Trailer</v>
      </c>
      <c r="G29" s="41" t="str">
        <f>VLOOKUP(E29,'Ride and Event Catalogue'!$C$5:$G$46,3,FALSE)</f>
        <v>11.4 miles</v>
      </c>
      <c r="H29" s="41" t="str">
        <f>VLOOKUP(E29,'Ride and Event Catalogue'!$C$5:$G$46,4,FALSE)</f>
        <v>425 ft</v>
      </c>
      <c r="I29" s="42" t="str">
        <f>VLOOKUP(E29,'Ride and Event Catalogue'!$C$5:$G$46,5,FALSE)</f>
        <v>Beginner</v>
      </c>
    </row>
    <row r="30" spans="1:9" x14ac:dyDescent="0.3">
      <c r="A30" s="17" t="s">
        <v>97</v>
      </c>
      <c r="B30" s="40">
        <v>46228</v>
      </c>
      <c r="C30" s="41" t="str">
        <f t="shared" si="2"/>
        <v>Saturday</v>
      </c>
      <c r="D30" s="41" t="str">
        <f t="shared" si="3"/>
        <v>July</v>
      </c>
      <c r="E30" s="41" t="s">
        <v>8</v>
      </c>
      <c r="F30" s="41" t="str">
        <f>VLOOKUP(E30,'Ride and Event Catalogue'!$C$5:$G$46,2,FALSE)</f>
        <v>Trailer</v>
      </c>
      <c r="G30" s="41" t="str">
        <f>VLOOKUP(E30,'Ride and Event Catalogue'!$C$5:$G$46,3,FALSE)</f>
        <v xml:space="preserve">25 miles </v>
      </c>
      <c r="H30" s="41" t="str">
        <f>VLOOKUP(E30,'Ride and Event Catalogue'!$C$5:$G$46,4,FALSE)</f>
        <v>500 ft</v>
      </c>
      <c r="I30" s="42" t="str">
        <f>VLOOKUP(E30,'Ride and Event Catalogue'!$C$5:$G$46,5,FALSE)</f>
        <v>Intermediate</v>
      </c>
    </row>
    <row r="31" spans="1:9" x14ac:dyDescent="0.3">
      <c r="A31">
        <v>1</v>
      </c>
      <c r="B31" s="40">
        <v>46235</v>
      </c>
      <c r="C31" s="41" t="str">
        <f t="shared" si="2"/>
        <v>Saturday</v>
      </c>
      <c r="D31" s="41" t="str">
        <f t="shared" si="3"/>
        <v>August</v>
      </c>
      <c r="E31" s="41" t="s">
        <v>64</v>
      </c>
      <c r="F31" s="41" t="str">
        <f>VLOOKUP(E31,'Ride and Event Catalogue'!$C$5:$G$46,2,FALSE)</f>
        <v>Track Session</v>
      </c>
      <c r="G31" s="41" t="str">
        <f>VLOOKUP(E31,'Ride and Event Catalogue'!$C$5:$G$46,3,FALSE)</f>
        <v>750 m Circuit</v>
      </c>
      <c r="H31" s="41" t="str">
        <f>VLOOKUP(E31,'Ride and Event Catalogue'!$C$5:$G$46,4,FALSE)</f>
        <v>Undulating</v>
      </c>
      <c r="I31" s="42" t="str">
        <f>VLOOKUP(E31,'Ride and Event Catalogue'!$C$5:$G$46,5,FALSE)</f>
        <v>New Joiner</v>
      </c>
    </row>
    <row r="32" spans="1:9" x14ac:dyDescent="0.3">
      <c r="A32">
        <v>2</v>
      </c>
      <c r="B32" s="40">
        <v>46242</v>
      </c>
      <c r="C32" s="41" t="str">
        <f t="shared" si="2"/>
        <v>Saturday</v>
      </c>
      <c r="D32" s="41" t="str">
        <f t="shared" si="3"/>
        <v>August</v>
      </c>
      <c r="E32" s="41" t="s">
        <v>24</v>
      </c>
      <c r="F32" s="41" t="str">
        <f>VLOOKUP(E32,'Ride and Event Catalogue'!$C$5:$G$46,2,FALSE)</f>
        <v>Local from Mirfield HQ</v>
      </c>
      <c r="G32" s="41" t="str">
        <f>VLOOKUP(E32,'Ride and Event Catalogue'!$C$5:$G$46,3,FALSE)</f>
        <v>17.7 miles</v>
      </c>
      <c r="H32" s="41" t="str">
        <f>VLOOKUP(E32,'Ride and Event Catalogue'!$C$5:$G$46,4,FALSE)</f>
        <v>550 ft</v>
      </c>
      <c r="I32" s="42" t="str">
        <f>VLOOKUP(E32,'Ride and Event Catalogue'!$C$5:$G$46,5,FALSE)</f>
        <v>Beginner</v>
      </c>
    </row>
    <row r="33" spans="1:9" x14ac:dyDescent="0.3">
      <c r="A33">
        <v>3</v>
      </c>
      <c r="B33" s="40">
        <v>46242</v>
      </c>
      <c r="C33" s="41" t="str">
        <f t="shared" si="2"/>
        <v>Saturday</v>
      </c>
      <c r="D33" s="41" t="str">
        <f t="shared" si="3"/>
        <v>August</v>
      </c>
      <c r="E33" s="41" t="s">
        <v>114</v>
      </c>
      <c r="F33" s="41" t="str">
        <f>VLOOKUP(E33,'Ride and Event Catalogue'!$C$5:$G$46,2,FALSE)</f>
        <v>Maintenance</v>
      </c>
      <c r="G33" s="41" t="str">
        <f>VLOOKUP(E33,'Ride and Event Catalogue'!$C$5:$G$46,3,FALSE)</f>
        <v>N/A</v>
      </c>
      <c r="H33" s="41" t="str">
        <f>VLOOKUP(E33,'Ride and Event Catalogue'!$C$5:$G$46,4,FALSE)</f>
        <v>N/A</v>
      </c>
      <c r="I33" s="42" t="str">
        <f>VLOOKUP(E33,'Ride and Event Catalogue'!$C$5:$G$46,5,FALSE)</f>
        <v>Grease monkey</v>
      </c>
    </row>
    <row r="34" spans="1:9" x14ac:dyDescent="0.3">
      <c r="A34">
        <v>3</v>
      </c>
      <c r="B34" s="40">
        <v>46249</v>
      </c>
      <c r="C34" s="41" t="str">
        <f t="shared" si="2"/>
        <v>Saturday</v>
      </c>
      <c r="D34" s="41" t="str">
        <f t="shared" si="3"/>
        <v>August</v>
      </c>
      <c r="E34" s="41" t="s">
        <v>49</v>
      </c>
      <c r="F34" s="41" t="str">
        <f>VLOOKUP(E34,'Ride and Event Catalogue'!$C$5:$G$46,2,FALSE)</f>
        <v>Trailer</v>
      </c>
      <c r="G34" s="41" t="str">
        <f>VLOOKUP(E34,'Ride and Event Catalogue'!$C$5:$G$46,3,FALSE)</f>
        <v>28 miles</v>
      </c>
      <c r="H34" s="41" t="str">
        <f>VLOOKUP(E34,'Ride and Event Catalogue'!$C$5:$G$46,4,FALSE)</f>
        <v>1150 ft</v>
      </c>
      <c r="I34" s="42" t="str">
        <f>VLOOKUP(E34,'Ride and Event Catalogue'!$C$5:$G$46,5,FALSE)</f>
        <v>Advanced</v>
      </c>
    </row>
    <row r="35" spans="1:9" x14ac:dyDescent="0.3">
      <c r="A35">
        <v>4</v>
      </c>
      <c r="B35" s="40">
        <v>46250</v>
      </c>
      <c r="C35" s="41" t="str">
        <f t="shared" si="2"/>
        <v>Sunday</v>
      </c>
      <c r="D35" s="41" t="str">
        <f t="shared" si="3"/>
        <v>August</v>
      </c>
      <c r="E35" s="41" t="s">
        <v>50</v>
      </c>
      <c r="F35" s="41" t="str">
        <f>VLOOKUP(E35,'Ride and Event Catalogue'!$C$5:$G$46,2,FALSE)</f>
        <v>Trailer</v>
      </c>
      <c r="G35" s="41" t="str">
        <f>VLOOKUP(E35,'Ride and Event Catalogue'!$C$5:$G$46,3,FALSE)</f>
        <v>20 miles</v>
      </c>
      <c r="H35" s="41" t="str">
        <f>VLOOKUP(E35,'Ride and Event Catalogue'!$C$5:$G$46,4,FALSE)</f>
        <v>525 ft</v>
      </c>
      <c r="I35" s="42" t="str">
        <f>VLOOKUP(E35,'Ride and Event Catalogue'!$C$5:$G$46,5,FALSE)</f>
        <v>Intermediate</v>
      </c>
    </row>
    <row r="36" spans="1:9" x14ac:dyDescent="0.3">
      <c r="A36">
        <v>5</v>
      </c>
      <c r="B36" s="40">
        <v>46256</v>
      </c>
      <c r="C36" s="41" t="str">
        <f t="shared" si="2"/>
        <v>Saturday</v>
      </c>
      <c r="D36" s="41" t="str">
        <f t="shared" si="3"/>
        <v>August</v>
      </c>
      <c r="E36" s="41" t="s">
        <v>24</v>
      </c>
      <c r="F36" s="41" t="str">
        <f>VLOOKUP(E36,'Ride and Event Catalogue'!$C$5:$G$46,2,FALSE)</f>
        <v>Local from Mirfield HQ</v>
      </c>
      <c r="G36" s="41" t="str">
        <f>VLOOKUP(E36,'Ride and Event Catalogue'!$C$5:$G$46,3,FALSE)</f>
        <v>17.7 miles</v>
      </c>
      <c r="H36" s="41" t="str">
        <f>VLOOKUP(E36,'Ride and Event Catalogue'!$C$5:$G$46,4,FALSE)</f>
        <v>550 ft</v>
      </c>
      <c r="I36" s="42" t="str">
        <f>VLOOKUP(E36,'Ride and Event Catalogue'!$C$5:$G$46,5,FALSE)</f>
        <v>Beginner</v>
      </c>
    </row>
    <row r="37" spans="1:9" x14ac:dyDescent="0.3">
      <c r="A37">
        <v>6</v>
      </c>
      <c r="B37" s="40">
        <v>46263</v>
      </c>
      <c r="C37" s="41" t="str">
        <f t="shared" si="2"/>
        <v>Saturday</v>
      </c>
      <c r="D37" s="41" t="str">
        <f t="shared" si="3"/>
        <v>August</v>
      </c>
      <c r="E37" s="41" t="s">
        <v>75</v>
      </c>
      <c r="F37" s="41" t="str">
        <f>VLOOKUP(E37,'Ride and Event Catalogue'!$C$5:$G$46,2,FALSE)</f>
        <v>Trailer</v>
      </c>
      <c r="G37" s="41" t="str">
        <f>VLOOKUP(E37,'Ride and Event Catalogue'!$C$5:$G$46,3,FALSE)</f>
        <v>12 miles</v>
      </c>
      <c r="H37" s="41" t="str">
        <f>VLOOKUP(E37,'Ride and Event Catalogue'!$C$5:$G$46,4,FALSE)</f>
        <v>1025 ft</v>
      </c>
      <c r="I37" s="42" t="str">
        <f>VLOOKUP(E37,'Ride and Event Catalogue'!$C$5:$G$46,5,FALSE)</f>
        <v>Intermediate</v>
      </c>
    </row>
    <row r="38" spans="1:9" x14ac:dyDescent="0.3">
      <c r="A38" s="17" t="s">
        <v>97</v>
      </c>
      <c r="B38" s="40">
        <v>46270</v>
      </c>
      <c r="C38" s="41" t="str">
        <f t="shared" si="2"/>
        <v>Saturday</v>
      </c>
      <c r="D38" s="41" t="str">
        <f t="shared" si="3"/>
        <v>September</v>
      </c>
      <c r="E38" s="41" t="s">
        <v>9</v>
      </c>
      <c r="F38" s="41" t="str">
        <f>VLOOKUP(E38,'Ride and Event Catalogue'!$C$5:$G$46,2,FALSE)</f>
        <v>Trailer</v>
      </c>
      <c r="G38" s="41" t="str">
        <f>VLOOKUP(E38,'Ride and Event Catalogue'!$C$5:$G$46,3,FALSE)</f>
        <v>20 miles</v>
      </c>
      <c r="H38" s="41" t="str">
        <f>VLOOKUP(E38,'Ride and Event Catalogue'!$C$5:$G$46,4,FALSE)</f>
        <v>900 ft</v>
      </c>
      <c r="I38" s="42" t="str">
        <f>VLOOKUP(E38,'Ride and Event Catalogue'!$C$5:$G$46,5,FALSE)</f>
        <v>Advanced</v>
      </c>
    </row>
    <row r="39" spans="1:9" x14ac:dyDescent="0.3">
      <c r="A39">
        <v>1</v>
      </c>
      <c r="B39" s="40">
        <v>46277</v>
      </c>
      <c r="C39" s="41" t="str">
        <f t="shared" si="2"/>
        <v>Saturday</v>
      </c>
      <c r="D39" s="41" t="str">
        <f t="shared" si="3"/>
        <v>September</v>
      </c>
      <c r="E39" s="41" t="s">
        <v>65</v>
      </c>
      <c r="F39" s="41" t="str">
        <f>VLOOKUP(E39,'Ride and Event Catalogue'!$C$5:$G$46,2,FALSE)</f>
        <v>Track Session</v>
      </c>
      <c r="G39" s="41" t="str">
        <f>VLOOKUP(E39,'Ride and Event Catalogue'!$C$5:$G$46,3,FALSE)</f>
        <v>1.1 km Circuit</v>
      </c>
      <c r="H39" s="41" t="str">
        <f>VLOOKUP(E39,'Ride and Event Catalogue'!$C$5:$G$46,4,FALSE)</f>
        <v>Undulating</v>
      </c>
      <c r="I39" s="42" t="str">
        <f>VLOOKUP(E39,'Ride and Event Catalogue'!$C$5:$G$46,5,FALSE)</f>
        <v>New Joiner</v>
      </c>
    </row>
    <row r="40" spans="1:9" x14ac:dyDescent="0.3">
      <c r="A40">
        <v>2</v>
      </c>
      <c r="B40" s="40">
        <v>46284</v>
      </c>
      <c r="C40" s="41" t="str">
        <f t="shared" si="2"/>
        <v>Saturday</v>
      </c>
      <c r="D40" s="41" t="str">
        <f t="shared" si="3"/>
        <v>September</v>
      </c>
      <c r="E40" s="41" t="s">
        <v>24</v>
      </c>
      <c r="F40" s="41" t="str">
        <f>VLOOKUP(E40,'Ride and Event Catalogue'!$C$5:$G$46,2,FALSE)</f>
        <v>Local from Mirfield HQ</v>
      </c>
      <c r="G40" s="41" t="str">
        <f>VLOOKUP(E40,'Ride and Event Catalogue'!$C$5:$G$46,3,FALSE)</f>
        <v>17.7 miles</v>
      </c>
      <c r="H40" s="41" t="str">
        <f>VLOOKUP(E40,'Ride and Event Catalogue'!$C$5:$G$46,4,FALSE)</f>
        <v>550 ft</v>
      </c>
      <c r="I40" s="42" t="str">
        <f>VLOOKUP(E40,'Ride and Event Catalogue'!$C$5:$G$46,5,FALSE)</f>
        <v>Beginner</v>
      </c>
    </row>
    <row r="41" spans="1:9" x14ac:dyDescent="0.3">
      <c r="A41">
        <v>3</v>
      </c>
      <c r="B41" s="40">
        <v>46291</v>
      </c>
      <c r="C41" s="41" t="str">
        <f t="shared" si="2"/>
        <v>Saturday</v>
      </c>
      <c r="D41" s="41" t="str">
        <f t="shared" si="3"/>
        <v>September</v>
      </c>
      <c r="E41" s="41" t="s">
        <v>7</v>
      </c>
      <c r="F41" s="41" t="str">
        <f>VLOOKUP(E41,'Ride and Event Catalogue'!$C$5:$G$46,2,FALSE)</f>
        <v>Trailer</v>
      </c>
      <c r="G41" s="41" t="str">
        <f>VLOOKUP(E41,'Ride and Event Catalogue'!$C$5:$G$46,3,FALSE)</f>
        <v>21.36 miles</v>
      </c>
      <c r="H41" s="41" t="str">
        <f>VLOOKUP(E41,'Ride and Event Catalogue'!$C$5:$G$46,4,FALSE)</f>
        <v>117m</v>
      </c>
      <c r="I41" s="42" t="str">
        <f>VLOOKUP(E41,'Ride and Event Catalogue'!$C$5:$G$46,5,FALSE)</f>
        <v>Intermediate</v>
      </c>
    </row>
    <row r="42" spans="1:9" x14ac:dyDescent="0.3">
      <c r="A42">
        <v>4</v>
      </c>
      <c r="B42" s="40">
        <v>46298</v>
      </c>
      <c r="C42" s="41" t="str">
        <f t="shared" si="2"/>
        <v>Saturday</v>
      </c>
      <c r="D42" s="41" t="str">
        <f t="shared" si="3"/>
        <v>October</v>
      </c>
      <c r="E42" s="41" t="s">
        <v>110</v>
      </c>
      <c r="F42" s="41" t="str">
        <f>VLOOKUP(E42,'Ride and Event Catalogue'!$C$5:$G$46,2,FALSE)</f>
        <v>Trailer</v>
      </c>
      <c r="G42" s="41" t="str">
        <f>VLOOKUP(E42,'Ride and Event Catalogue'!$C$5:$G$46,3,FALSE)</f>
        <v>22.1 miles</v>
      </c>
      <c r="H42" s="41" t="str">
        <f>VLOOKUP(E42,'Ride and Event Catalogue'!$C$5:$G$46,4,FALSE)</f>
        <v>400 ft</v>
      </c>
      <c r="I42" s="42" t="str">
        <f>VLOOKUP(E42,'Ride and Event Catalogue'!$C$5:$G$46,5,FALSE)</f>
        <v>Intermediate</v>
      </c>
    </row>
    <row r="43" spans="1:9" x14ac:dyDescent="0.3">
      <c r="A43">
        <v>5</v>
      </c>
      <c r="B43" s="40">
        <v>46305</v>
      </c>
      <c r="C43" s="41" t="str">
        <f t="shared" si="2"/>
        <v>Saturday</v>
      </c>
      <c r="D43" s="41" t="str">
        <f t="shared" si="3"/>
        <v>October</v>
      </c>
      <c r="E43" s="41" t="s">
        <v>112</v>
      </c>
      <c r="F43" s="41" t="str">
        <f>VLOOKUP(E43,'Ride and Event Catalogue'!$C$5:$G$46,2,FALSE)</f>
        <v>Local from Mirfield HQ</v>
      </c>
      <c r="G43" s="41" t="str">
        <f>VLOOKUP(E43,'Ride and Event Catalogue'!$C$5:$G$46,3,FALSE)</f>
        <v>13.5 miles</v>
      </c>
      <c r="H43" s="41" t="str">
        <f>VLOOKUP(E43,'Ride and Event Catalogue'!$C$5:$G$46,4,FALSE)</f>
        <v>525 ft</v>
      </c>
      <c r="I43" s="42" t="str">
        <f>VLOOKUP(E43,'Ride and Event Catalogue'!$C$5:$G$46,5,FALSE)</f>
        <v>Intermediate</v>
      </c>
    </row>
    <row r="44" spans="1:9" x14ac:dyDescent="0.3">
      <c r="B44" s="40">
        <v>46305</v>
      </c>
      <c r="C44" s="41" t="str">
        <f t="shared" si="2"/>
        <v>Saturday</v>
      </c>
      <c r="D44" s="41" t="str">
        <f t="shared" si="3"/>
        <v>October</v>
      </c>
      <c r="E44" s="41" t="s">
        <v>111</v>
      </c>
      <c r="F44" s="41" t="str">
        <f>VLOOKUP(E44,'Ride and Event Catalogue'!$C$5:$G$46,2,FALSE)</f>
        <v>Local from Mirfield HQ</v>
      </c>
      <c r="G44" s="41" t="str">
        <f>VLOOKUP(E44,'Ride and Event Catalogue'!$C$5:$G$46,3,FALSE)</f>
        <v>18.6 miles</v>
      </c>
      <c r="H44" s="41" t="str">
        <f>VLOOKUP(E44,'Ride and Event Catalogue'!$C$5:$G$46,4,FALSE)</f>
        <v>800 ft</v>
      </c>
      <c r="I44" s="42" t="str">
        <f>VLOOKUP(E44,'Ride and Event Catalogue'!$C$5:$G$46,5,FALSE)</f>
        <v>Advanced</v>
      </c>
    </row>
    <row r="45" spans="1:9" x14ac:dyDescent="0.3">
      <c r="A45" s="17" t="s">
        <v>97</v>
      </c>
      <c r="B45" s="40">
        <v>46305</v>
      </c>
      <c r="C45" s="41" t="str">
        <f t="shared" si="2"/>
        <v>Saturday</v>
      </c>
      <c r="D45" s="41" t="str">
        <f t="shared" ref="D45" si="4">TEXT(B45, "mmmm")</f>
        <v>October</v>
      </c>
      <c r="E45" s="41" t="s">
        <v>114</v>
      </c>
      <c r="F45" s="41" t="str">
        <f>VLOOKUP(E45,'Ride and Event Catalogue'!$C$5:$G$46,2,FALSE)</f>
        <v>Maintenance</v>
      </c>
      <c r="G45" s="41" t="str">
        <f>VLOOKUP(E45,'Ride and Event Catalogue'!$C$5:$G$46,3,FALSE)</f>
        <v>N/A</v>
      </c>
      <c r="H45" s="41" t="str">
        <f>VLOOKUP(E45,'Ride and Event Catalogue'!$C$5:$G$46,4,FALSE)</f>
        <v>N/A</v>
      </c>
      <c r="I45" s="42" t="str">
        <f>VLOOKUP(E45,'Ride and Event Catalogue'!$C$5:$G$46,5,FALSE)</f>
        <v>Grease monkey</v>
      </c>
    </row>
    <row r="46" spans="1:9" x14ac:dyDescent="0.3">
      <c r="B46" s="40">
        <v>46312</v>
      </c>
      <c r="C46" s="41" t="str">
        <f t="shared" si="2"/>
        <v>Saturday</v>
      </c>
      <c r="D46" s="41" t="str">
        <f t="shared" si="3"/>
        <v>October</v>
      </c>
      <c r="E46" s="41" t="s">
        <v>10</v>
      </c>
      <c r="F46" s="41" t="str">
        <f>VLOOKUP(E46,'Ride and Event Catalogue'!$C$5:$G$46,2,FALSE)</f>
        <v>Trailer</v>
      </c>
      <c r="G46" s="41" t="str">
        <f>VLOOKUP(E46,'Ride and Event Catalogue'!$C$5:$G$46,3,FALSE)</f>
        <v>23.9 miles</v>
      </c>
      <c r="H46" s="41" t="str">
        <f>VLOOKUP(E46,'Ride and Event Catalogue'!$C$5:$G$46,4,FALSE)</f>
        <v>450 ft</v>
      </c>
      <c r="I46" s="42" t="str">
        <f>VLOOKUP(E46,'Ride and Event Catalogue'!$C$5:$G$46,5,FALSE)</f>
        <v>Intermediate</v>
      </c>
    </row>
    <row r="47" spans="1:9" x14ac:dyDescent="0.3">
      <c r="B47" s="40">
        <v>46319</v>
      </c>
      <c r="C47" s="41" t="str">
        <f t="shared" si="2"/>
        <v>Saturday</v>
      </c>
      <c r="D47" s="41" t="str">
        <f t="shared" si="3"/>
        <v>October</v>
      </c>
      <c r="E47" s="41" t="s">
        <v>64</v>
      </c>
      <c r="F47" s="41" t="str">
        <f>VLOOKUP(E47,'Ride and Event Catalogue'!$C$5:$G$46,2,FALSE)</f>
        <v>Track Session</v>
      </c>
      <c r="G47" s="41" t="str">
        <f>VLOOKUP(E47,'Ride and Event Catalogue'!$C$5:$G$46,3,FALSE)</f>
        <v>750 m Circuit</v>
      </c>
      <c r="H47" s="41" t="str">
        <f>VLOOKUP(E47,'Ride and Event Catalogue'!$C$5:$G$46,4,FALSE)</f>
        <v>Undulating</v>
      </c>
      <c r="I47" s="42" t="str">
        <f>VLOOKUP(E47,'Ride and Event Catalogue'!$C$5:$G$46,5,FALSE)</f>
        <v>New Joiner</v>
      </c>
    </row>
    <row r="48" spans="1:9" x14ac:dyDescent="0.3">
      <c r="B48" s="40">
        <v>46326</v>
      </c>
      <c r="C48" s="41" t="str">
        <f t="shared" si="2"/>
        <v>Saturday</v>
      </c>
      <c r="D48" s="41" t="str">
        <f t="shared" si="3"/>
        <v>October</v>
      </c>
      <c r="E48" s="41" t="s">
        <v>24</v>
      </c>
      <c r="F48" s="41" t="str">
        <f>VLOOKUP(E48,'Ride and Event Catalogue'!$C$5:$G$46,2,FALSE)</f>
        <v>Local from Mirfield HQ</v>
      </c>
      <c r="G48" s="41" t="str">
        <f>VLOOKUP(E48,'Ride and Event Catalogue'!$C$5:$G$46,3,FALSE)</f>
        <v>17.7 miles</v>
      </c>
      <c r="H48" s="41" t="str">
        <f>VLOOKUP(E48,'Ride and Event Catalogue'!$C$5:$G$46,4,FALSE)</f>
        <v>550 ft</v>
      </c>
      <c r="I48" s="42" t="str">
        <f>VLOOKUP(E48,'Ride and Event Catalogue'!$C$5:$G$46,5,FALSE)</f>
        <v>Beginner</v>
      </c>
    </row>
    <row r="49" spans="2:9" x14ac:dyDescent="0.3">
      <c r="B49" s="40">
        <v>46333</v>
      </c>
      <c r="C49" s="41" t="str">
        <f t="shared" si="2"/>
        <v>Saturday</v>
      </c>
      <c r="D49" s="41" t="str">
        <f t="shared" si="3"/>
        <v>November</v>
      </c>
      <c r="E49" s="41" t="s">
        <v>8</v>
      </c>
      <c r="F49" s="41" t="str">
        <f>VLOOKUP(E49,'Ride and Event Catalogue'!$C$5:$G$46,2,FALSE)</f>
        <v>Trailer</v>
      </c>
      <c r="G49" s="41" t="str">
        <f>VLOOKUP(E49,'Ride and Event Catalogue'!$C$5:$G$46,3,FALSE)</f>
        <v xml:space="preserve">25 miles </v>
      </c>
      <c r="H49" s="41" t="str">
        <f>VLOOKUP(E49,'Ride and Event Catalogue'!$C$5:$G$46,4,FALSE)</f>
        <v>500 ft</v>
      </c>
      <c r="I49" s="42" t="str">
        <f>VLOOKUP(E49,'Ride and Event Catalogue'!$C$5:$G$46,5,FALSE)</f>
        <v>Intermediate</v>
      </c>
    </row>
    <row r="50" spans="2:9" x14ac:dyDescent="0.3">
      <c r="B50" s="40">
        <v>46340</v>
      </c>
      <c r="C50" s="41" t="str">
        <f t="shared" si="2"/>
        <v>Saturday</v>
      </c>
      <c r="D50" s="41" t="str">
        <f t="shared" si="3"/>
        <v>November</v>
      </c>
      <c r="E50" s="41" t="s">
        <v>106</v>
      </c>
      <c r="F50" s="41" t="str">
        <f>VLOOKUP(E50,'Ride and Event Catalogue'!$C$5:$G$46,2,FALSE)</f>
        <v>Trailer</v>
      </c>
      <c r="G50" s="41" t="str">
        <f>VLOOKUP(E50,'Ride and Event Catalogue'!$C$5:$G$46,3,FALSE)</f>
        <v>24.5 miles max</v>
      </c>
      <c r="H50" s="41" t="str">
        <f>VLOOKUP(E50,'Ride and Event Catalogue'!$C$5:$G$46,4,FALSE)</f>
        <v>750 ft max</v>
      </c>
      <c r="I50" s="42" t="str">
        <f>VLOOKUP(E50,'Ride and Event Catalogue'!$C$5:$G$46,5,FALSE)</f>
        <v>Beginner</v>
      </c>
    </row>
    <row r="51" spans="2:9" ht="15" thickBot="1" x14ac:dyDescent="0.35">
      <c r="B51" s="43">
        <v>46347</v>
      </c>
      <c r="C51" s="44" t="str">
        <f t="shared" si="2"/>
        <v>Saturday</v>
      </c>
      <c r="D51" s="44" t="str">
        <f t="shared" si="3"/>
        <v>November</v>
      </c>
      <c r="E51" s="44" t="s">
        <v>85</v>
      </c>
      <c r="F51" s="44" t="str">
        <f>VLOOKUP(E51,'Ride and Event Catalogue'!$C$5:$G$46,2,FALSE)</f>
        <v>Maintenance</v>
      </c>
      <c r="G51" s="44" t="str">
        <f>VLOOKUP(E51,'Ride and Event Catalogue'!$C$5:$G$46,3,FALSE)</f>
        <v>N/A</v>
      </c>
      <c r="H51" s="44" t="str">
        <f>VLOOKUP(E51,'Ride and Event Catalogue'!$C$5:$G$46,4,FALSE)</f>
        <v>N/A</v>
      </c>
      <c r="I51" s="45" t="str">
        <f>VLOOKUP(E51,'Ride and Event Catalogue'!$C$5:$G$46,5,FALSE)</f>
        <v>All members</v>
      </c>
    </row>
  </sheetData>
  <autoFilter ref="A4:I51" xr:uid="{34CB8CF8-BEEB-44F4-962D-3ADFA6CB6BF8}"/>
  <conditionalFormatting sqref="B5:I51">
    <cfRule type="expression" dxfId="4" priority="1">
      <formula>+$F5="Velodrome"</formula>
    </cfRule>
    <cfRule type="expression" dxfId="3" priority="2">
      <formula>+$F5="Local from Mirfield HQ"</formula>
    </cfRule>
    <cfRule type="expression" dxfId="2" priority="3">
      <formula>+$F5="Track Session"</formula>
    </cfRule>
    <cfRule type="expression" dxfId="1" priority="4">
      <formula>+$F5="Trailer"</formula>
    </cfRule>
    <cfRule type="expression" dxfId="0" priority="5">
      <formula>+$F5="Maintenance"</formula>
    </cfRule>
  </conditionalFormatting>
  <pageMargins left="0.7" right="0.7" top="0.75" bottom="0.75" header="0.3" footer="0.3"/>
  <headerFooter>
    <oddHeader>&amp;R&amp;"Century Gothic"&amp;9&amp;K5514B4 General&amp;1#_x000D_</oddHeader>
    <oddFooter>&amp;R_x000D_&amp;1#&amp;"Century Gothic"&amp;9&amp;K5514B4 General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B3CEA3-F989-436A-B93E-53A997C04086}">
          <x14:formula1>
            <xm:f>'Ride and Event Catalogue'!$C$4:$C$46</xm:f>
          </x14:formula1>
          <xm:sqref>E5:E51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0D79-A9F5-46F9-A6B1-EA0441FB99E1}">
  <dimension ref="B1:K47"/>
  <sheetViews>
    <sheetView showGridLines="0" zoomScaleNormal="100" workbookViewId="0">
      <selection activeCell="F14" sqref="F14"/>
    </sheetView>
  </sheetViews>
  <sheetFormatPr defaultRowHeight="14.4" x14ac:dyDescent="0.3"/>
  <cols>
    <col min="1" max="1" width="2.77734375" customWidth="1"/>
    <col min="2" max="2" width="8.88671875" customWidth="1"/>
    <col min="3" max="3" width="39.77734375" bestFit="1" customWidth="1"/>
    <col min="4" max="4" width="19.21875" bestFit="1" customWidth="1"/>
    <col min="5" max="5" width="14.44140625" bestFit="1" customWidth="1"/>
    <col min="6" max="6" width="11.88671875" bestFit="1" customWidth="1"/>
    <col min="7" max="7" width="13.77734375" bestFit="1" customWidth="1"/>
    <col min="8" max="8" width="10" style="25" bestFit="1" customWidth="1"/>
    <col min="10" max="12" width="12.77734375" customWidth="1"/>
  </cols>
  <sheetData>
    <row r="1" spans="2:11" ht="10.050000000000001" customHeight="1" x14ac:dyDescent="0.3"/>
    <row r="2" spans="2:11" ht="23.4" x14ac:dyDescent="0.45">
      <c r="B2" s="16" t="s">
        <v>81</v>
      </c>
    </row>
    <row r="3" spans="2:11" x14ac:dyDescent="0.3">
      <c r="E3" s="8"/>
      <c r="F3" s="8"/>
      <c r="G3" s="8"/>
    </row>
    <row r="4" spans="2:11" x14ac:dyDescent="0.3">
      <c r="B4" s="7" t="s">
        <v>6</v>
      </c>
      <c r="C4" s="7" t="s">
        <v>23</v>
      </c>
      <c r="D4" s="9" t="s">
        <v>99</v>
      </c>
      <c r="E4" s="9" t="s">
        <v>18</v>
      </c>
      <c r="F4" s="9" t="s">
        <v>19</v>
      </c>
      <c r="G4" s="9" t="s">
        <v>36</v>
      </c>
      <c r="H4" s="26">
        <v>2026</v>
      </c>
      <c r="K4" s="1" t="s">
        <v>103</v>
      </c>
    </row>
    <row r="5" spans="2:11" x14ac:dyDescent="0.3">
      <c r="B5" s="2">
        <v>1</v>
      </c>
      <c r="C5" s="12" t="s">
        <v>65</v>
      </c>
      <c r="D5" s="13" t="s">
        <v>107</v>
      </c>
      <c r="E5" s="13" t="s">
        <v>93</v>
      </c>
      <c r="F5" s="13" t="s">
        <v>22</v>
      </c>
      <c r="G5" s="13" t="s">
        <v>63</v>
      </c>
      <c r="H5" s="27">
        <f>COUNTIF('2026 Ride Calendar'!E6:E51,"BKCAT Track - Wakefield")</f>
        <v>3</v>
      </c>
      <c r="K5" t="s">
        <v>63</v>
      </c>
    </row>
    <row r="6" spans="2:11" x14ac:dyDescent="0.3">
      <c r="B6" s="2">
        <v>2</v>
      </c>
      <c r="C6" s="12" t="s">
        <v>64</v>
      </c>
      <c r="D6" s="13" t="s">
        <v>107</v>
      </c>
      <c r="E6" s="13" t="s">
        <v>94</v>
      </c>
      <c r="F6" s="13" t="s">
        <v>22</v>
      </c>
      <c r="G6" s="13" t="s">
        <v>63</v>
      </c>
      <c r="H6" s="27">
        <f>COUNTIF('2026 Ride Calendar'!E6:E51,"Brooksbank Track  - Elland")</f>
        <v>3</v>
      </c>
      <c r="K6" t="s">
        <v>37</v>
      </c>
    </row>
    <row r="7" spans="2:11" x14ac:dyDescent="0.3">
      <c r="B7" s="2">
        <v>3</v>
      </c>
      <c r="C7" s="12" t="s">
        <v>13</v>
      </c>
      <c r="D7" s="13" t="s">
        <v>13</v>
      </c>
      <c r="E7" s="13" t="s">
        <v>95</v>
      </c>
      <c r="F7" s="13" t="s">
        <v>56</v>
      </c>
      <c r="G7" s="13" t="s">
        <v>41</v>
      </c>
      <c r="H7" s="27">
        <f>COUNTIF('2026 Ride Calendar'!E6:E51,"Velodrome")</f>
        <v>0</v>
      </c>
      <c r="K7" t="s">
        <v>38</v>
      </c>
    </row>
    <row r="8" spans="2:11" x14ac:dyDescent="0.3">
      <c r="E8" s="8"/>
      <c r="F8" s="8"/>
      <c r="G8" s="8"/>
      <c r="H8" s="28">
        <f>SUM(H5:H7)</f>
        <v>6</v>
      </c>
      <c r="K8" t="s">
        <v>41</v>
      </c>
    </row>
    <row r="9" spans="2:11" x14ac:dyDescent="0.3">
      <c r="E9" s="8"/>
      <c r="F9" s="8"/>
      <c r="G9" s="8"/>
      <c r="K9" t="s">
        <v>91</v>
      </c>
    </row>
    <row r="10" spans="2:11" x14ac:dyDescent="0.3">
      <c r="B10" s="7" t="s">
        <v>4</v>
      </c>
      <c r="C10" s="7" t="s">
        <v>23</v>
      </c>
      <c r="D10" s="9" t="s">
        <v>99</v>
      </c>
      <c r="E10" s="9" t="s">
        <v>20</v>
      </c>
      <c r="F10" s="9" t="s">
        <v>21</v>
      </c>
      <c r="G10" s="9" t="s">
        <v>36</v>
      </c>
      <c r="H10" s="26">
        <v>2026</v>
      </c>
      <c r="K10" t="s">
        <v>86</v>
      </c>
    </row>
    <row r="11" spans="2:11" x14ac:dyDescent="0.3">
      <c r="B11" s="2">
        <v>1</v>
      </c>
      <c r="C11" s="12" t="s">
        <v>24</v>
      </c>
      <c r="D11" s="13" t="s">
        <v>104</v>
      </c>
      <c r="E11" s="13" t="s">
        <v>61</v>
      </c>
      <c r="F11" s="13" t="s">
        <v>62</v>
      </c>
      <c r="G11" s="13" t="s">
        <v>37</v>
      </c>
      <c r="H11" s="27">
        <f>COUNTIF('2026 Ride Calendar'!E6:E51, "Spen Valley Greenway")</f>
        <v>7</v>
      </c>
    </row>
    <row r="12" spans="2:11" x14ac:dyDescent="0.3">
      <c r="B12" s="2">
        <v>2</v>
      </c>
      <c r="C12" s="12" t="s">
        <v>112</v>
      </c>
      <c r="D12" s="13" t="s">
        <v>104</v>
      </c>
      <c r="E12" s="13" t="s">
        <v>115</v>
      </c>
      <c r="F12" s="13" t="s">
        <v>48</v>
      </c>
      <c r="G12" s="13" t="s">
        <v>38</v>
      </c>
      <c r="H12" s="27">
        <f>COUNTIF('2026 Ride Calendar'!E7:E52, "Ossett from Mirgield HQ")</f>
        <v>0</v>
      </c>
    </row>
    <row r="13" spans="2:11" x14ac:dyDescent="0.3">
      <c r="B13" s="2">
        <v>3</v>
      </c>
      <c r="C13" s="12" t="s">
        <v>111</v>
      </c>
      <c r="D13" s="13" t="s">
        <v>104</v>
      </c>
      <c r="E13" s="13" t="s">
        <v>116</v>
      </c>
      <c r="F13" s="13" t="s">
        <v>117</v>
      </c>
      <c r="G13" s="13" t="s">
        <v>41</v>
      </c>
      <c r="H13" s="27">
        <f>COUNTIF('2026 Ride Calendar'!E8:E53, "Horbury via Ossett from Mirfield HQ")</f>
        <v>3</v>
      </c>
    </row>
    <row r="14" spans="2:11" x14ac:dyDescent="0.3">
      <c r="B14" s="2">
        <v>4</v>
      </c>
      <c r="C14" s="14" t="s">
        <v>77</v>
      </c>
      <c r="D14" s="15" t="s">
        <v>104</v>
      </c>
      <c r="E14" s="15"/>
      <c r="F14" s="15"/>
      <c r="G14" s="15" t="s">
        <v>38</v>
      </c>
      <c r="H14" s="27">
        <f>COUNTIF('2026 Ride Calendar'!E6:E51, "New Local Ride")</f>
        <v>0</v>
      </c>
      <c r="K14" s="1" t="s">
        <v>102</v>
      </c>
    </row>
    <row r="15" spans="2:11" x14ac:dyDescent="0.3">
      <c r="E15" s="8"/>
      <c r="F15" s="8"/>
      <c r="G15" s="8"/>
      <c r="H15" s="28">
        <f>SUM(H11:H14)</f>
        <v>10</v>
      </c>
      <c r="K15" t="s">
        <v>107</v>
      </c>
    </row>
    <row r="16" spans="2:11" x14ac:dyDescent="0.3">
      <c r="E16" s="8"/>
      <c r="F16" s="8"/>
      <c r="G16" s="8"/>
      <c r="K16" t="s">
        <v>104</v>
      </c>
    </row>
    <row r="17" spans="2:11" x14ac:dyDescent="0.3">
      <c r="B17" s="7" t="s">
        <v>5</v>
      </c>
      <c r="C17" s="7" t="s">
        <v>23</v>
      </c>
      <c r="D17" s="9" t="s">
        <v>99</v>
      </c>
      <c r="E17" s="9" t="s">
        <v>18</v>
      </c>
      <c r="F17" s="9" t="s">
        <v>19</v>
      </c>
      <c r="G17" s="9" t="s">
        <v>36</v>
      </c>
      <c r="H17" s="26">
        <v>2026</v>
      </c>
      <c r="K17" t="s">
        <v>5</v>
      </c>
    </row>
    <row r="18" spans="2:11" x14ac:dyDescent="0.3">
      <c r="B18" s="2">
        <v>1</v>
      </c>
      <c r="C18" s="12" t="s">
        <v>105</v>
      </c>
      <c r="D18" s="13" t="s">
        <v>5</v>
      </c>
      <c r="E18" s="13" t="s">
        <v>66</v>
      </c>
      <c r="F18" s="13" t="s">
        <v>67</v>
      </c>
      <c r="G18" s="13" t="s">
        <v>37</v>
      </c>
      <c r="H18" s="27">
        <f>COUNTIF('2026 Ride Calendar'!E6:E51,"Transpennine Trail Barnsley")</f>
        <v>1</v>
      </c>
      <c r="K18" t="s">
        <v>13</v>
      </c>
    </row>
    <row r="19" spans="2:11" x14ac:dyDescent="0.3">
      <c r="B19" s="2">
        <v>2</v>
      </c>
      <c r="C19" s="12" t="s">
        <v>106</v>
      </c>
      <c r="D19" s="13" t="s">
        <v>5</v>
      </c>
      <c r="E19" s="13" t="s">
        <v>60</v>
      </c>
      <c r="F19" s="13" t="s">
        <v>51</v>
      </c>
      <c r="G19" s="13" t="s">
        <v>37</v>
      </c>
      <c r="H19" s="27">
        <f>COUNTIF('2026 Ride Calendar'!E6:E51,"Transpennine Trail Penistone")</f>
        <v>2</v>
      </c>
    </row>
    <row r="20" spans="2:11" x14ac:dyDescent="0.3">
      <c r="B20" s="2">
        <v>3</v>
      </c>
      <c r="C20" s="12" t="s">
        <v>110</v>
      </c>
      <c r="D20" s="13" t="s">
        <v>5</v>
      </c>
      <c r="E20" s="13" t="s">
        <v>45</v>
      </c>
      <c r="F20" s="13" t="s">
        <v>31</v>
      </c>
      <c r="G20" s="10" t="s">
        <v>38</v>
      </c>
      <c r="H20" s="27">
        <f>COUNTIF('2026 Ride Calendar'!E6:E51,"Stamford Bridge")</f>
        <v>2</v>
      </c>
      <c r="K20" s="1" t="s">
        <v>100</v>
      </c>
    </row>
    <row r="21" spans="2:11" x14ac:dyDescent="0.3">
      <c r="B21" s="2">
        <v>4</v>
      </c>
      <c r="C21" s="12" t="s">
        <v>7</v>
      </c>
      <c r="D21" s="13" t="s">
        <v>5</v>
      </c>
      <c r="E21" s="13" t="s">
        <v>71</v>
      </c>
      <c r="F21" s="13" t="s">
        <v>26</v>
      </c>
      <c r="G21" s="10" t="s">
        <v>38</v>
      </c>
      <c r="H21" s="27">
        <f>COUNTIF('2026 Ride Calendar'!E6:E51,"Fairburn")</f>
        <v>2</v>
      </c>
      <c r="K21" t="s">
        <v>15</v>
      </c>
    </row>
    <row r="22" spans="2:11" x14ac:dyDescent="0.3">
      <c r="B22" s="2">
        <v>5</v>
      </c>
      <c r="C22" s="12" t="s">
        <v>11</v>
      </c>
      <c r="D22" s="13" t="s">
        <v>5</v>
      </c>
      <c r="E22" s="13" t="s">
        <v>30</v>
      </c>
      <c r="F22" s="13" t="s">
        <v>31</v>
      </c>
      <c r="G22" s="10" t="s">
        <v>41</v>
      </c>
      <c r="H22" s="27">
        <f>COUNTIF('2026 Ride Calendar'!E6:E51,"Church Fenton")</f>
        <v>1</v>
      </c>
    </row>
    <row r="23" spans="2:11" x14ac:dyDescent="0.3">
      <c r="B23" s="2">
        <v>6</v>
      </c>
      <c r="C23" s="12" t="s">
        <v>108</v>
      </c>
      <c r="D23" s="13" t="s">
        <v>5</v>
      </c>
      <c r="E23" s="13" t="s">
        <v>58</v>
      </c>
      <c r="F23" s="13" t="s">
        <v>72</v>
      </c>
      <c r="G23" s="10" t="s">
        <v>38</v>
      </c>
      <c r="H23" s="27">
        <f>COUNTIF('2026 Ride Calendar'!E6:E51,"Ripon from Boroughbridge")</f>
        <v>1</v>
      </c>
    </row>
    <row r="24" spans="2:11" x14ac:dyDescent="0.3">
      <c r="B24" s="2">
        <v>7</v>
      </c>
      <c r="C24" s="12" t="s">
        <v>109</v>
      </c>
      <c r="D24" s="13" t="s">
        <v>5</v>
      </c>
      <c r="E24" s="13" t="s">
        <v>59</v>
      </c>
      <c r="F24" s="13" t="s">
        <v>43</v>
      </c>
      <c r="G24" s="10" t="s">
        <v>41</v>
      </c>
      <c r="H24" s="27">
        <f>COUNTIF('2026 Ride Calendar'!E6:E51,"Ripon from Boroughbridge")</f>
        <v>1</v>
      </c>
    </row>
    <row r="25" spans="2:11" x14ac:dyDescent="0.3">
      <c r="B25" s="2">
        <v>8</v>
      </c>
      <c r="C25" s="12" t="s">
        <v>8</v>
      </c>
      <c r="D25" s="13" t="s">
        <v>5</v>
      </c>
      <c r="E25" s="13" t="s">
        <v>33</v>
      </c>
      <c r="F25" s="13" t="s">
        <v>32</v>
      </c>
      <c r="G25" s="10" t="s">
        <v>38</v>
      </c>
      <c r="H25" s="27">
        <f>COUNTIF('2026 Ride Calendar'!E6:E51,"Boroughbridge")</f>
        <v>2</v>
      </c>
    </row>
    <row r="26" spans="2:11" x14ac:dyDescent="0.3">
      <c r="B26" s="2">
        <v>9</v>
      </c>
      <c r="C26" s="12" t="s">
        <v>9</v>
      </c>
      <c r="D26" s="13" t="s">
        <v>5</v>
      </c>
      <c r="E26" s="13" t="s">
        <v>47</v>
      </c>
      <c r="F26" s="13" t="s">
        <v>25</v>
      </c>
      <c r="G26" s="10" t="s">
        <v>41</v>
      </c>
      <c r="H26" s="27">
        <f>COUNTIF('2026 Ride Calendar'!E6:E51,"Clitheroe")</f>
        <v>1</v>
      </c>
    </row>
    <row r="27" spans="2:11" x14ac:dyDescent="0.3">
      <c r="B27" s="2">
        <v>10</v>
      </c>
      <c r="C27" s="12" t="s">
        <v>27</v>
      </c>
      <c r="D27" s="13" t="s">
        <v>5</v>
      </c>
      <c r="E27" s="13" t="s">
        <v>28</v>
      </c>
      <c r="F27" s="13" t="s">
        <v>29</v>
      </c>
      <c r="G27" s="10" t="s">
        <v>41</v>
      </c>
      <c r="H27" s="27">
        <f>COUNTIF('2026 Ride Calendar'!E6:E51,"Gargrave")</f>
        <v>0</v>
      </c>
    </row>
    <row r="28" spans="2:11" x14ac:dyDescent="0.3">
      <c r="B28" s="2">
        <v>11</v>
      </c>
      <c r="C28" s="12" t="s">
        <v>39</v>
      </c>
      <c r="D28" s="13" t="s">
        <v>5</v>
      </c>
      <c r="E28" s="13" t="s">
        <v>44</v>
      </c>
      <c r="F28" s="13" t="s">
        <v>43</v>
      </c>
      <c r="G28" s="10" t="s">
        <v>38</v>
      </c>
      <c r="H28" s="27">
        <f>COUNTIF('2026 Ride Calendar'!E6:E51,"Humber Bridge short")</f>
        <v>1</v>
      </c>
      <c r="J28" s="1"/>
    </row>
    <row r="29" spans="2:11" x14ac:dyDescent="0.3">
      <c r="B29" s="2">
        <v>12</v>
      </c>
      <c r="C29" s="12" t="s">
        <v>40</v>
      </c>
      <c r="D29" s="13" t="s">
        <v>5</v>
      </c>
      <c r="E29" s="13" t="s">
        <v>42</v>
      </c>
      <c r="F29" s="13" t="s">
        <v>46</v>
      </c>
      <c r="G29" s="10" t="s">
        <v>41</v>
      </c>
      <c r="H29" s="27">
        <f>COUNTIF('2026 Ride Calendar'!E6:E51,"Humber Bridge long")</f>
        <v>1</v>
      </c>
    </row>
    <row r="30" spans="2:11" x14ac:dyDescent="0.3">
      <c r="B30" s="2">
        <v>13</v>
      </c>
      <c r="C30" s="12" t="s">
        <v>10</v>
      </c>
      <c r="D30" s="13" t="s">
        <v>5</v>
      </c>
      <c r="E30" s="13" t="s">
        <v>57</v>
      </c>
      <c r="F30" s="13" t="s">
        <v>53</v>
      </c>
      <c r="G30" s="10" t="s">
        <v>38</v>
      </c>
      <c r="H30" s="27">
        <f>COUNTIF('2026 Ride Calendar'!E6:E51,"Glasson Dock")</f>
        <v>1</v>
      </c>
    </row>
    <row r="31" spans="2:11" x14ac:dyDescent="0.3">
      <c r="B31" s="2">
        <v>14</v>
      </c>
      <c r="C31" s="12" t="s">
        <v>12</v>
      </c>
      <c r="D31" s="13" t="s">
        <v>5</v>
      </c>
      <c r="E31" s="13" t="s">
        <v>34</v>
      </c>
      <c r="F31" s="13" t="s">
        <v>35</v>
      </c>
      <c r="G31" s="10" t="s">
        <v>41</v>
      </c>
      <c r="H31" s="27">
        <f>COUNTIF('2026 Ride Calendar'!E6:E51,"Hornsea")</f>
        <v>1</v>
      </c>
    </row>
    <row r="32" spans="2:11" x14ac:dyDescent="0.3">
      <c r="B32" s="2">
        <v>15</v>
      </c>
      <c r="C32" s="22" t="s">
        <v>96</v>
      </c>
      <c r="D32" s="13" t="s">
        <v>5</v>
      </c>
      <c r="E32" s="13" t="s">
        <v>55</v>
      </c>
      <c r="F32" s="13" t="s">
        <v>54</v>
      </c>
      <c r="G32" s="10" t="s">
        <v>37</v>
      </c>
      <c r="H32" s="27">
        <f>COUNTIF('2026 Ride Calendar'!E6:E51,"York Cycle Rally - Driffield Show Ground")</f>
        <v>1</v>
      </c>
    </row>
    <row r="33" spans="2:8" x14ac:dyDescent="0.3">
      <c r="B33" s="2">
        <v>16</v>
      </c>
      <c r="C33" s="12" t="s">
        <v>75</v>
      </c>
      <c r="D33" s="13" t="s">
        <v>5</v>
      </c>
      <c r="E33" s="13" t="s">
        <v>73</v>
      </c>
      <c r="F33" s="13" t="s">
        <v>74</v>
      </c>
      <c r="G33" s="10" t="s">
        <v>38</v>
      </c>
      <c r="H33" s="27">
        <f>COUNTIF('2026 Ride Calendar'!E6:E51,"Buckstones from Scapegoat Hill")</f>
        <v>1</v>
      </c>
    </row>
    <row r="34" spans="2:8" x14ac:dyDescent="0.3">
      <c r="B34" s="2">
        <v>17</v>
      </c>
      <c r="C34" s="12" t="s">
        <v>14</v>
      </c>
      <c r="D34" s="13" t="s">
        <v>5</v>
      </c>
      <c r="E34" s="13" t="s">
        <v>68</v>
      </c>
      <c r="F34" s="13" t="s">
        <v>70</v>
      </c>
      <c r="G34" s="10" t="s">
        <v>37</v>
      </c>
      <c r="H34" s="27">
        <f>COUNTIF('2026 Ride Calendar'!E6:E51,"Dalby Forest")</f>
        <v>1</v>
      </c>
    </row>
    <row r="35" spans="2:8" x14ac:dyDescent="0.3">
      <c r="B35" s="2">
        <v>18</v>
      </c>
      <c r="C35" s="12" t="s">
        <v>16</v>
      </c>
      <c r="D35" s="13" t="s">
        <v>5</v>
      </c>
      <c r="E35" s="13" t="s">
        <v>69</v>
      </c>
      <c r="F35" s="13" t="s">
        <v>52</v>
      </c>
      <c r="G35" s="10" t="s">
        <v>38</v>
      </c>
      <c r="H35" s="27">
        <f>COUNTIF('2026 Ride Calendar'!E6:E51,"Monsal Trail")</f>
        <v>0</v>
      </c>
    </row>
    <row r="36" spans="2:8" x14ac:dyDescent="0.3">
      <c r="B36" s="2">
        <v>19</v>
      </c>
      <c r="C36" s="12" t="s">
        <v>17</v>
      </c>
      <c r="D36" s="13" t="s">
        <v>5</v>
      </c>
      <c r="E36" s="13" t="s">
        <v>98</v>
      </c>
      <c r="F36" s="13" t="s">
        <v>92</v>
      </c>
      <c r="G36" s="10" t="s">
        <v>37</v>
      </c>
      <c r="H36" s="27">
        <f>COUNTIF('2026 Ride Calendar'!E6:E51,"Tissington Trail")</f>
        <v>0</v>
      </c>
    </row>
    <row r="37" spans="2:8" x14ac:dyDescent="0.3">
      <c r="B37" s="2">
        <v>20</v>
      </c>
      <c r="C37" s="12" t="s">
        <v>49</v>
      </c>
      <c r="D37" s="13" t="s">
        <v>5</v>
      </c>
      <c r="E37" s="13" t="s">
        <v>34</v>
      </c>
      <c r="F37" s="13" t="s">
        <v>46</v>
      </c>
      <c r="G37" s="10" t="s">
        <v>41</v>
      </c>
      <c r="H37" s="27">
        <f>COUNTIF('2026 Ride Calendar'!E6:E51,"Residential  - Harper Adams University - Cosford")</f>
        <v>1</v>
      </c>
    </row>
    <row r="38" spans="2:8" x14ac:dyDescent="0.3">
      <c r="B38" s="2">
        <v>21</v>
      </c>
      <c r="C38" s="12" t="s">
        <v>50</v>
      </c>
      <c r="D38" s="13" t="s">
        <v>5</v>
      </c>
      <c r="E38" s="13" t="s">
        <v>47</v>
      </c>
      <c r="F38" s="13" t="s">
        <v>48</v>
      </c>
      <c r="G38" s="10" t="s">
        <v>38</v>
      </c>
      <c r="H38" s="27">
        <f>COUNTIF('2026 Ride Calendar'!E6:E51,"Residential  - Harper Adams University - Loynton")</f>
        <v>1</v>
      </c>
    </row>
    <row r="39" spans="2:8" x14ac:dyDescent="0.3">
      <c r="B39" s="2">
        <v>22</v>
      </c>
      <c r="C39" s="14" t="s">
        <v>82</v>
      </c>
      <c r="D39" s="15"/>
      <c r="E39" s="15"/>
      <c r="F39" s="15"/>
      <c r="G39" s="15"/>
      <c r="H39" s="27">
        <f>COUNTIF('2026 Ride Calendar'!E6:E51,"New Trailer Ride")</f>
        <v>0</v>
      </c>
    </row>
    <row r="40" spans="2:8" x14ac:dyDescent="0.3">
      <c r="E40" s="8"/>
      <c r="F40" s="8"/>
      <c r="G40" s="8"/>
      <c r="H40" s="28">
        <f>SUM(H18:H38)</f>
        <v>22</v>
      </c>
    </row>
    <row r="41" spans="2:8" x14ac:dyDescent="0.3">
      <c r="E41" s="8"/>
      <c r="F41" s="8"/>
    </row>
    <row r="42" spans="2:8" x14ac:dyDescent="0.3">
      <c r="B42" s="7" t="s">
        <v>78</v>
      </c>
      <c r="C42" s="7" t="s">
        <v>79</v>
      </c>
      <c r="D42" s="9" t="s">
        <v>99</v>
      </c>
      <c r="E42" s="9" t="s">
        <v>18</v>
      </c>
      <c r="F42" s="9" t="s">
        <v>19</v>
      </c>
      <c r="G42" s="9" t="s">
        <v>36</v>
      </c>
      <c r="H42" s="26">
        <v>2026</v>
      </c>
    </row>
    <row r="43" spans="2:8" x14ac:dyDescent="0.3">
      <c r="B43" s="2">
        <v>1</v>
      </c>
      <c r="C43" s="12" t="s">
        <v>114</v>
      </c>
      <c r="D43" s="13" t="s">
        <v>15</v>
      </c>
      <c r="E43" s="13" t="s">
        <v>80</v>
      </c>
      <c r="F43" s="13" t="s">
        <v>80</v>
      </c>
      <c r="G43" s="13" t="s">
        <v>91</v>
      </c>
      <c r="H43" s="30">
        <f>COUNTIF('2026 Ride Calendar'!E6:E51,"Maintenance Session 2pm to 4pm")</f>
        <v>0</v>
      </c>
    </row>
    <row r="44" spans="2:8" x14ac:dyDescent="0.3">
      <c r="B44" s="2">
        <v>2</v>
      </c>
      <c r="C44" s="12" t="s">
        <v>113</v>
      </c>
      <c r="D44" s="13" t="s">
        <v>15</v>
      </c>
      <c r="E44" s="13" t="s">
        <v>80</v>
      </c>
      <c r="F44" s="13" t="s">
        <v>80</v>
      </c>
      <c r="G44" s="13" t="s">
        <v>91</v>
      </c>
      <c r="H44" s="30">
        <f>COUNTIF('2026 Ride Calendar'!E7:E52,"Maintenance Session 10am to 2pm")</f>
        <v>0</v>
      </c>
    </row>
    <row r="45" spans="2:8" x14ac:dyDescent="0.3">
      <c r="B45" s="2">
        <v>3</v>
      </c>
      <c r="C45" s="12" t="s">
        <v>85</v>
      </c>
      <c r="D45" s="13" t="s">
        <v>15</v>
      </c>
      <c r="E45" s="13" t="s">
        <v>80</v>
      </c>
      <c r="F45" s="13" t="s">
        <v>80</v>
      </c>
      <c r="G45" s="13" t="s">
        <v>86</v>
      </c>
      <c r="H45" s="30">
        <f>COUNTIF('2026 Ride Calendar'!E6:E52,"Winter Maintenance and Cleaning")</f>
        <v>1</v>
      </c>
    </row>
    <row r="46" spans="2:8" x14ac:dyDescent="0.3">
      <c r="B46" s="2">
        <v>4</v>
      </c>
      <c r="C46" s="14" t="s">
        <v>83</v>
      </c>
      <c r="D46" s="15"/>
      <c r="E46" s="15"/>
      <c r="F46" s="15"/>
      <c r="G46" s="15"/>
      <c r="H46" s="29">
        <f>COUNTIF('2026 Ride Calendar'!E6:E51,"New Event")</f>
        <v>0</v>
      </c>
    </row>
    <row r="47" spans="2:8" x14ac:dyDescent="0.3">
      <c r="H47" s="28">
        <f>SUM(H43:H46)</f>
        <v>1</v>
      </c>
    </row>
  </sheetData>
  <autoFilter ref="B17:H40" xr:uid="{28710D79-A9F5-46F9-A6B1-EA0441FB99E1}"/>
  <phoneticPr fontId="2" type="noConversion"/>
  <dataValidations count="5">
    <dataValidation type="list" allowBlank="1" showInputMessage="1" showErrorMessage="1" sqref="G34:G36 G5:G7 G32 G11:G14 G43:G46 D46" xr:uid="{0ADED4D9-AFDC-411F-87E8-26C0125F9429}">
      <formula1>$K$5:$K$10</formula1>
    </dataValidation>
    <dataValidation type="list" allowBlank="1" showInputMessage="1" showErrorMessage="1" sqref="G18:G31 G33 G37:G39" xr:uid="{0914030F-C9E9-4112-BC5E-088AEBF96419}">
      <formula1>$K$6:$K$8</formula1>
    </dataValidation>
    <dataValidation type="list" allowBlank="1" showInputMessage="1" showErrorMessage="1" sqref="D5:D7 D11:D14" xr:uid="{A90B7C87-FE57-457D-90BD-543DDA052993}">
      <formula1>$K$15:$K$18</formula1>
    </dataValidation>
    <dataValidation type="list" allowBlank="1" showInputMessage="1" showErrorMessage="1" sqref="D43:D45" xr:uid="{FB1F5BA6-8376-497C-A1AE-0D66FD84C945}">
      <formula1>$K$21</formula1>
    </dataValidation>
    <dataValidation type="list" allowBlank="1" showInputMessage="1" showErrorMessage="1" sqref="D18:D39" xr:uid="{71C7D503-7B43-4547-9627-5960E8B9989B}">
      <formula1>$K$16:$K$17</formula1>
    </dataValidation>
  </dataValidations>
  <hyperlinks>
    <hyperlink ref="C32" r:id="rId1" display="York Cycle Rally" xr:uid="{C5345B36-676F-4239-9AA8-0ECA4D5AA1D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Ride Calendar</vt:lpstr>
      <vt:lpstr>Ride and Event Catalogue</vt:lpstr>
    </vt:vector>
  </TitlesOfParts>
  <Company>BT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Dearman (NPHE6 R)</dc:creator>
  <cp:lastModifiedBy>Sophie Claire</cp:lastModifiedBy>
  <dcterms:created xsi:type="dcterms:W3CDTF">2026-01-13T14:35:15Z</dcterms:created>
  <dcterms:modified xsi:type="dcterms:W3CDTF">2026-03-06T20:57:51Z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818d02-8d25-4bb9-b27c-e4db64670887_Enabled">
    <vt:lpwstr>true</vt:lpwstr>
  </property>
  <property fmtid="{D5CDD505-2E9C-101B-9397-08002B2CF9AE}" pid="3" name="MSIP_Label_55818d02-8d25-4bb9-b27c-e4db64670887_SetDate">
    <vt:lpwstr>2026-01-13T16:46:56Z</vt:lpwstr>
  </property>
  <property fmtid="{D5CDD505-2E9C-101B-9397-08002B2CF9AE}" pid="4" name="MSIP_Label_55818d02-8d25-4bb9-b27c-e4db64670887_Method">
    <vt:lpwstr>Standard</vt:lpwstr>
  </property>
  <property fmtid="{D5CDD505-2E9C-101B-9397-08002B2CF9AE}" pid="5" name="MSIP_Label_55818d02-8d25-4bb9-b27c-e4db64670887_Name">
    <vt:lpwstr>55818d02-8d25-4bb9-b27c-e4db64670887</vt:lpwstr>
  </property>
  <property fmtid="{D5CDD505-2E9C-101B-9397-08002B2CF9AE}" pid="6" name="MSIP_Label_55818d02-8d25-4bb9-b27c-e4db64670887_SiteId">
    <vt:lpwstr>a7f35688-9c00-4d5e-ba41-29f146377ab0</vt:lpwstr>
  </property>
  <property fmtid="{D5CDD505-2E9C-101B-9397-08002B2CF9AE}" pid="7" name="MSIP_Label_55818d02-8d25-4bb9-b27c-e4db64670887_ActionId">
    <vt:lpwstr>aad49717-479a-44ec-bc77-1284e40dcdff</vt:lpwstr>
  </property>
  <property fmtid="{D5CDD505-2E9C-101B-9397-08002B2CF9AE}" pid="8" name="MSIP_Label_55818d02-8d25-4bb9-b27c-e4db64670887_ContentBits">
    <vt:lpwstr>3</vt:lpwstr>
  </property>
  <property fmtid="{D5CDD505-2E9C-101B-9397-08002B2CF9AE}" pid="9" name="MSIP_Label_55818d02-8d25-4bb9-b27c-e4db64670887_Tag">
    <vt:lpwstr>10, 3, 0, 1</vt:lpwstr>
  </property>
</Properties>
</file>